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Fautley\Administration\PDF Accounting\NHRBT\2023.2024\"/>
    </mc:Choice>
  </mc:AlternateContent>
  <xr:revisionPtr revIDLastSave="0" documentId="13_ncr:1_{E97A9B11-D075-4FF1-A197-2001C751A1C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VAT Control (3)" sheetId="9" r:id="rId1"/>
    <sheet name="ETB" sheetId="1" r:id="rId2"/>
    <sheet name="Accounts" sheetId="5" r:id="rId3"/>
  </sheets>
  <definedNames>
    <definedName name="_xlnm.Print_Area" localSheetId="2">Accounts!$A$1:$D$64</definedName>
    <definedName name="_xlnm.Print_Area" localSheetId="1">ETB!$A$1:$M$55</definedName>
    <definedName name="_xlnm.Print_Area" localSheetId="0">'VAT Control (3)'!$A$1:$G$33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9" i="1" l="1"/>
  <c r="B25" i="5"/>
  <c r="B27" i="5"/>
  <c r="C13" i="5"/>
  <c r="F14" i="1"/>
  <c r="E30" i="9" l="1"/>
  <c r="E29" i="9"/>
  <c r="J25" i="1"/>
  <c r="L9" i="1"/>
  <c r="E22" i="1"/>
  <c r="D17" i="1"/>
  <c r="D18" i="1"/>
  <c r="E16" i="1"/>
  <c r="D16" i="1"/>
  <c r="E7" i="9" l="1"/>
  <c r="F29" i="1"/>
  <c r="F40" i="1"/>
  <c r="F44" i="1"/>
  <c r="F47" i="1"/>
  <c r="F25" i="1"/>
  <c r="F13" i="1"/>
  <c r="G13" i="1"/>
  <c r="C49" i="1"/>
  <c r="S41" i="1" l="1"/>
  <c r="R39" i="1"/>
  <c r="R38" i="1"/>
  <c r="R40" i="1" l="1"/>
  <c r="E32" i="9"/>
  <c r="K22" i="1"/>
  <c r="J35" i="1"/>
  <c r="J36" i="1"/>
  <c r="J37" i="1"/>
  <c r="R32" i="1"/>
  <c r="L16" i="1" l="1"/>
  <c r="E23" i="9" l="1"/>
  <c r="E25" i="9" s="1"/>
  <c r="G25" i="9"/>
  <c r="P26" i="1"/>
  <c r="J28" i="1"/>
  <c r="P28" i="1" s="1"/>
  <c r="J30" i="1"/>
  <c r="P30" i="1" s="1"/>
  <c r="J29" i="1"/>
  <c r="P29" i="1" s="1"/>
  <c r="L27" i="1"/>
  <c r="P47" i="1"/>
  <c r="P8" i="1"/>
  <c r="P10" i="1"/>
  <c r="P12" i="1"/>
  <c r="P15" i="1"/>
  <c r="P19" i="1"/>
  <c r="P24" i="1"/>
  <c r="P45" i="1"/>
  <c r="P48" i="1"/>
  <c r="P9" i="1"/>
  <c r="P27" i="1" l="1"/>
  <c r="I25" i="9"/>
  <c r="C40" i="5" l="1"/>
  <c r="B9" i="5" l="1"/>
  <c r="P22" i="1"/>
  <c r="B11" i="1"/>
  <c r="K25" i="1" l="1"/>
  <c r="M11" i="1"/>
  <c r="J40" i="1"/>
  <c r="J31" i="1"/>
  <c r="P31" i="1" s="1"/>
  <c r="J32" i="1"/>
  <c r="J33" i="1"/>
  <c r="P33" i="1" s="1"/>
  <c r="J34" i="1"/>
  <c r="P34" i="1" s="1"/>
  <c r="P40" i="1" l="1"/>
  <c r="P25" i="1"/>
  <c r="B51" i="5"/>
  <c r="P11" i="1"/>
  <c r="B20" i="5"/>
  <c r="B22" i="5"/>
  <c r="B19" i="5"/>
  <c r="L14" i="1"/>
  <c r="P14" i="1" s="1"/>
  <c r="L18" i="1"/>
  <c r="P18" i="1" s="1"/>
  <c r="D51" i="1" l="1"/>
  <c r="E51" i="1"/>
  <c r="F51" i="1"/>
  <c r="G51" i="1"/>
  <c r="H51" i="1"/>
  <c r="B50" i="5" s="1"/>
  <c r="C52" i="5" s="1"/>
  <c r="I51" i="1"/>
  <c r="B43" i="5" s="1"/>
  <c r="M49" i="1"/>
  <c r="P49" i="1" s="1"/>
  <c r="L13" i="1"/>
  <c r="L7" i="1"/>
  <c r="P7" i="1" s="1"/>
  <c r="B44" i="5" l="1"/>
  <c r="P13" i="1"/>
  <c r="C39" i="5"/>
  <c r="D40" i="5" s="1"/>
  <c r="E53" i="1"/>
  <c r="K20" i="1" l="1"/>
  <c r="P20" i="1" s="1"/>
  <c r="B8" i="5" l="1"/>
  <c r="P36" i="1" l="1"/>
  <c r="J38" i="1"/>
  <c r="P38" i="1" s="1"/>
  <c r="J39" i="1"/>
  <c r="P39" i="1" s="1"/>
  <c r="J41" i="1"/>
  <c r="J44" i="1"/>
  <c r="P41" i="1" l="1"/>
  <c r="B16" i="5"/>
  <c r="B24" i="5"/>
  <c r="P44" i="1"/>
  <c r="B23" i="5"/>
  <c r="B21" i="5"/>
  <c r="B18" i="5"/>
  <c r="J43" i="1"/>
  <c r="P43" i="1" s="1"/>
  <c r="J42" i="1" l="1"/>
  <c r="L17" i="1"/>
  <c r="B45" i="5" l="1"/>
  <c r="P16" i="1"/>
  <c r="B46" i="5"/>
  <c r="P17" i="1"/>
  <c r="B17" i="5"/>
  <c r="B28" i="5" s="1"/>
  <c r="C28" i="5" s="1"/>
  <c r="C30" i="5" s="1"/>
  <c r="P42" i="1"/>
  <c r="J51" i="1"/>
  <c r="J53" i="1" s="1"/>
  <c r="C47" i="5" l="1"/>
  <c r="D54" i="5" s="1"/>
  <c r="D56" i="5" s="1"/>
  <c r="K21" i="1"/>
  <c r="K23" i="1"/>
  <c r="P23" i="1" s="1"/>
  <c r="P21" i="1" l="1"/>
  <c r="B10" i="5"/>
  <c r="C11" i="5" s="1"/>
  <c r="K51" i="1"/>
  <c r="L53" i="1" s="1"/>
  <c r="M51" i="1"/>
  <c r="K55" i="1" l="1"/>
  <c r="L54" i="1"/>
  <c r="J55" i="1" l="1"/>
  <c r="M53" i="1"/>
  <c r="D59" i="5" s="1"/>
  <c r="D61" i="5" s="1"/>
  <c r="E64" i="5" s="1"/>
  <c r="G53" i="1"/>
  <c r="G54" i="1" s="1"/>
  <c r="L51" i="1" l="1"/>
  <c r="L55" i="1" s="1"/>
  <c r="C51" i="1"/>
  <c r="B51" i="1"/>
  <c r="M54" i="1" l="1"/>
  <c r="M55" i="1" s="1"/>
  <c r="M57" i="1" s="1"/>
  <c r="C53" i="1"/>
  <c r="C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Glenny User</author>
  </authors>
  <commentList>
    <comment ref="L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Agreed to bank statement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Agreed to bank statement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<sst xmlns="http://schemas.openxmlformats.org/spreadsheetml/2006/main" count="96" uniqueCount="83">
  <si>
    <t>Journals</t>
  </si>
  <si>
    <t>Accruals</t>
  </si>
  <si>
    <t>Debtors</t>
  </si>
  <si>
    <t>Balance Sheet</t>
  </si>
  <si>
    <t>Property - Cost</t>
  </si>
  <si>
    <t>Rental Income</t>
  </si>
  <si>
    <t>Service charge income</t>
  </si>
  <si>
    <t>Insurances</t>
  </si>
  <si>
    <t>Repairs &amp; maintenance</t>
  </si>
  <si>
    <t>Cleaning</t>
  </si>
  <si>
    <t>Accountancy</t>
  </si>
  <si>
    <t>Administration fees</t>
  </si>
  <si>
    <t>Managing agents commission</t>
  </si>
  <si>
    <t>Sundry expenses</t>
  </si>
  <si>
    <t>Profit &amp; Loss</t>
  </si>
  <si>
    <t>Insurance received</t>
  </si>
  <si>
    <t>Bank Interest - Gross</t>
  </si>
  <si>
    <t>Rent - External</t>
  </si>
  <si>
    <t>Water</t>
  </si>
  <si>
    <t>Rates</t>
  </si>
  <si>
    <t>Legal &amp; professional fees</t>
  </si>
  <si>
    <t>Service charges payable</t>
  </si>
  <si>
    <t>Bank charges</t>
  </si>
  <si>
    <t>Bank interest</t>
  </si>
  <si>
    <t>Debtors Suspense</t>
  </si>
  <si>
    <t>VAT Control</t>
  </si>
  <si>
    <t>Managing agents account</t>
  </si>
  <si>
    <t>Profit &amp; Loss Account</t>
  </si>
  <si>
    <t>New Horizons Retirement Benefits Trust</t>
  </si>
  <si>
    <t>Current Account 40908557</t>
  </si>
  <si>
    <t>SDV Loan</t>
  </si>
  <si>
    <t>NHRBT Cash Books</t>
  </si>
  <si>
    <t>Deposit on property</t>
  </si>
  <si>
    <t>Deposit account 40908777</t>
  </si>
  <si>
    <t>Internal transfers</t>
  </si>
  <si>
    <t>Tenant debtors control</t>
  </si>
  <si>
    <t>Interest payable</t>
  </si>
  <si>
    <t>Paid/Received HMRC</t>
  </si>
  <si>
    <t>Balance carried forward</t>
  </si>
  <si>
    <t>Statement of Income and Expenditure</t>
  </si>
  <si>
    <t>New Horizons Pension Scheme</t>
  </si>
  <si>
    <t>Income</t>
  </si>
  <si>
    <t>Rents received</t>
  </si>
  <si>
    <t>Bank interest received</t>
  </si>
  <si>
    <t>£</t>
  </si>
  <si>
    <t>Expenses</t>
  </si>
  <si>
    <t>Professional fees</t>
  </si>
  <si>
    <t>Administration &amp; accountancy</t>
  </si>
  <si>
    <t>Excess of Income over expenditure</t>
  </si>
  <si>
    <t>Fixed Assets</t>
  </si>
  <si>
    <t>Freehold Property</t>
  </si>
  <si>
    <t>3/4 &amp; 10 Heron Business Centre and</t>
  </si>
  <si>
    <t>Current Assets</t>
  </si>
  <si>
    <t>Bank account Current A/C</t>
  </si>
  <si>
    <t>Bank account Deposit A/C</t>
  </si>
  <si>
    <t>Current Liabilities</t>
  </si>
  <si>
    <t>Creditors</t>
  </si>
  <si>
    <t>Net Current assets</t>
  </si>
  <si>
    <t>Represented by;</t>
  </si>
  <si>
    <t>Accumulated Fund</t>
  </si>
  <si>
    <t>Total Fund</t>
  </si>
  <si>
    <t>Net assets</t>
  </si>
  <si>
    <t xml:space="preserve"> </t>
  </si>
  <si>
    <t>Insurance</t>
  </si>
  <si>
    <t>Loan</t>
  </si>
  <si>
    <t>Revaluation reserve</t>
  </si>
  <si>
    <t>Revaluation Reserve</t>
  </si>
  <si>
    <t>5 Kingfisher Busness Centre, Ashford</t>
  </si>
  <si>
    <t>Balance brought forward</t>
  </si>
  <si>
    <t>VAT due on payments</t>
  </si>
  <si>
    <t>Charges in March on April return</t>
  </si>
  <si>
    <t>VAT on charges as per statements</t>
  </si>
  <si>
    <t>Electricity</t>
  </si>
  <si>
    <t>Deposit account 40908696</t>
  </si>
  <si>
    <t>Expenses in Feb/Mar on April return</t>
  </si>
  <si>
    <t>Balance Sheet as at 5 April 2023</t>
  </si>
  <si>
    <t>for the Period to 5 April 2023</t>
  </si>
  <si>
    <t>Manageing agents  account</t>
  </si>
  <si>
    <t>Extended Trial Balance 05/04/2024</t>
  </si>
  <si>
    <t>Distribution</t>
  </si>
  <si>
    <t>VAT Control Year ended 5 April 2024</t>
  </si>
  <si>
    <t>VAT return 30/04/2024</t>
  </si>
  <si>
    <t>Crysallisation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</si>
</sst>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43" fontId="1" fillId="0" borderId="0" xfId="0" applyNumberFormat="1" applyFont="1" applyAlignment="1">
      <alignment horizontal="center"/>
    </xf>
    <xf numFmtId="43" fontId="1" fillId="0" borderId="0" xfId="0" applyNumberFormat="1" applyFont="1"/>
    <xf numFmtId="43" fontId="1" fillId="0" borderId="2" xfId="0" applyNumberFormat="1" applyFont="1" applyBorder="1"/>
    <xf numFmtId="43" fontId="1" fillId="0" borderId="1" xfId="0" applyNumberFormat="1" applyFont="1" applyBorder="1"/>
    <xf numFmtId="43" fontId="2" fillId="0" borderId="1" xfId="0" applyNumberFormat="1" applyFont="1" applyBorder="1"/>
    <xf numFmtId="43" fontId="2" fillId="0" borderId="0" xfId="0" applyNumberFormat="1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4" fontId="0" fillId="0" borderId="0" xfId="0" applyNumberFormat="1"/>
    <xf numFmtId="43" fontId="0" fillId="0" borderId="0" xfId="0" applyNumberFormat="1"/>
    <xf numFmtId="0" fontId="6" fillId="0" borderId="0" xfId="0" applyFont="1"/>
    <xf numFmtId="164" fontId="0" fillId="0" borderId="0" xfId="0" applyNumberFormat="1"/>
    <xf numFmtId="0" fontId="8" fillId="0" borderId="0" xfId="0" applyFont="1"/>
    <xf numFmtId="0" fontId="7" fillId="0" borderId="0" xfId="0" applyFont="1" applyAlignment="1">
      <alignment horizontal="center"/>
    </xf>
    <xf numFmtId="43" fontId="6" fillId="0" borderId="0" xfId="0" applyNumberFormat="1" applyFont="1"/>
    <xf numFmtId="43" fontId="6" fillId="0" borderId="2" xfId="0" applyNumberFormat="1" applyFont="1" applyBorder="1"/>
    <xf numFmtId="43" fontId="7" fillId="0" borderId="1" xfId="0" applyNumberFormat="1" applyFont="1" applyBorder="1"/>
    <xf numFmtId="14" fontId="1" fillId="0" borderId="0" xfId="0" applyNumberFormat="1" applyFont="1"/>
    <xf numFmtId="164" fontId="5" fillId="0" borderId="1" xfId="0" applyNumberFormat="1" applyFont="1" applyBorder="1"/>
    <xf numFmtId="164" fontId="5" fillId="0" borderId="0" xfId="0" applyNumberFormat="1" applyFont="1"/>
    <xf numFmtId="2" fontId="2" fillId="0" borderId="0" xfId="0" applyNumberFormat="1" applyFont="1"/>
    <xf numFmtId="14" fontId="5" fillId="0" borderId="0" xfId="0" applyNumberFormat="1" applyFont="1"/>
    <xf numFmtId="0" fontId="7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opLeftCell="A16" workbookViewId="0">
      <selection activeCell="H16" sqref="H16"/>
    </sheetView>
  </sheetViews>
  <sheetFormatPr defaultRowHeight="14.4" x14ac:dyDescent="0.3"/>
  <cols>
    <col min="1" max="1" width="10.5546875" bestFit="1" customWidth="1"/>
    <col min="3" max="3" width="10.5546875" bestFit="1" customWidth="1"/>
    <col min="5" max="5" width="10.5546875" style="13" bestFit="1" customWidth="1"/>
    <col min="6" max="6" width="9.33203125" style="13" bestFit="1" customWidth="1"/>
    <col min="7" max="7" width="10.33203125" style="13" bestFit="1" customWidth="1"/>
    <col min="8" max="8" width="9.109375" style="13"/>
    <col min="9" max="9" width="10.33203125" style="13" bestFit="1" customWidth="1"/>
  </cols>
  <sheetData>
    <row r="1" spans="1:9" x14ac:dyDescent="0.3">
      <c r="A1" s="2" t="s">
        <v>28</v>
      </c>
    </row>
    <row r="3" spans="1:9" x14ac:dyDescent="0.3">
      <c r="A3" s="11" t="s">
        <v>80</v>
      </c>
    </row>
    <row r="5" spans="1:9" x14ac:dyDescent="0.3">
      <c r="A5" t="s">
        <v>68</v>
      </c>
      <c r="E5" s="15"/>
      <c r="F5" s="15"/>
      <c r="G5" s="15">
        <v>4677.03</v>
      </c>
      <c r="H5" s="15"/>
      <c r="I5" s="15"/>
    </row>
    <row r="6" spans="1:9" x14ac:dyDescent="0.3">
      <c r="E6" s="15"/>
      <c r="F6" s="15"/>
      <c r="G6" s="15"/>
      <c r="H6" s="15"/>
      <c r="I6" s="15"/>
    </row>
    <row r="7" spans="1:9" x14ac:dyDescent="0.3">
      <c r="A7" t="s">
        <v>69</v>
      </c>
      <c r="E7" s="15">
        <f>1019.41+712.85</f>
        <v>1732.26</v>
      </c>
      <c r="F7" s="15"/>
      <c r="G7" s="15"/>
      <c r="H7" s="15"/>
      <c r="I7" s="15"/>
    </row>
    <row r="8" spans="1:9" x14ac:dyDescent="0.3">
      <c r="E8" s="15"/>
      <c r="F8" s="15"/>
      <c r="G8" s="15"/>
      <c r="H8" s="15"/>
      <c r="I8" s="15"/>
    </row>
    <row r="9" spans="1:9" x14ac:dyDescent="0.3">
      <c r="E9" s="15"/>
      <c r="F9" s="15"/>
      <c r="G9" s="15"/>
      <c r="H9" s="15"/>
      <c r="I9" s="15"/>
    </row>
    <row r="10" spans="1:9" x14ac:dyDescent="0.3">
      <c r="A10" t="s">
        <v>71</v>
      </c>
      <c r="E10" s="15"/>
      <c r="F10" s="15"/>
      <c r="G10" s="15">
        <v>22536.05</v>
      </c>
      <c r="H10" s="15"/>
      <c r="I10" s="15"/>
    </row>
    <row r="11" spans="1:9" x14ac:dyDescent="0.3">
      <c r="E11" s="15"/>
      <c r="F11" s="15"/>
      <c r="G11" s="15"/>
      <c r="H11" s="15"/>
      <c r="I11" s="15"/>
    </row>
    <row r="12" spans="1:9" x14ac:dyDescent="0.3">
      <c r="E12" s="15"/>
      <c r="F12" s="15"/>
      <c r="G12" s="15"/>
      <c r="H12" s="15"/>
      <c r="I12" s="15"/>
    </row>
    <row r="13" spans="1:9" x14ac:dyDescent="0.3">
      <c r="A13" s="11" t="s">
        <v>37</v>
      </c>
      <c r="E13" s="15"/>
      <c r="F13" s="15"/>
      <c r="G13" s="15"/>
      <c r="H13" s="15"/>
      <c r="I13" s="15"/>
    </row>
    <row r="14" spans="1:9" x14ac:dyDescent="0.3">
      <c r="A14" s="12"/>
      <c r="E14" s="15"/>
      <c r="F14" s="15"/>
      <c r="G14" s="15"/>
      <c r="H14" s="15"/>
      <c r="I14" s="15"/>
    </row>
    <row r="15" spans="1:9" x14ac:dyDescent="0.3">
      <c r="A15" s="12">
        <v>45089</v>
      </c>
      <c r="C15" s="12">
        <v>45046</v>
      </c>
      <c r="E15" s="15">
        <v>4413.6099999999997</v>
      </c>
      <c r="F15" s="15"/>
      <c r="G15" s="15"/>
      <c r="H15" s="15"/>
      <c r="I15" s="15"/>
    </row>
    <row r="16" spans="1:9" x14ac:dyDescent="0.3">
      <c r="E16" s="15"/>
      <c r="F16" s="15"/>
      <c r="G16" s="15"/>
      <c r="H16" s="15"/>
      <c r="I16" s="15"/>
    </row>
    <row r="17" spans="1:9" x14ac:dyDescent="0.3">
      <c r="A17" s="12">
        <v>45181</v>
      </c>
      <c r="C17" s="12">
        <v>45138</v>
      </c>
      <c r="E17" s="15">
        <v>5248.5</v>
      </c>
      <c r="F17" s="15"/>
      <c r="G17" s="15"/>
      <c r="H17" s="15"/>
      <c r="I17" s="15"/>
    </row>
    <row r="18" spans="1:9" x14ac:dyDescent="0.3">
      <c r="C18" s="12"/>
      <c r="E18" s="15"/>
      <c r="F18" s="15"/>
      <c r="G18" s="15"/>
      <c r="H18" s="15"/>
      <c r="I18" s="15"/>
    </row>
    <row r="19" spans="1:9" x14ac:dyDescent="0.3">
      <c r="A19" s="12">
        <v>45272</v>
      </c>
      <c r="C19" s="12">
        <v>45230</v>
      </c>
      <c r="E19" s="15">
        <v>6259.9</v>
      </c>
      <c r="F19" s="15"/>
      <c r="G19" s="15"/>
      <c r="H19" s="15"/>
      <c r="I19" s="15"/>
    </row>
    <row r="20" spans="1:9" x14ac:dyDescent="0.3">
      <c r="A20" s="12"/>
      <c r="C20" s="12"/>
      <c r="E20" s="15"/>
      <c r="F20" s="15"/>
      <c r="G20" s="15"/>
      <c r="H20" s="15"/>
      <c r="I20" s="15"/>
    </row>
    <row r="21" spans="1:9" x14ac:dyDescent="0.3">
      <c r="A21" s="12">
        <v>45363</v>
      </c>
      <c r="C21" s="12">
        <v>45322</v>
      </c>
      <c r="E21" s="15">
        <v>4651.93</v>
      </c>
      <c r="F21" s="15"/>
      <c r="G21" s="15"/>
      <c r="H21" s="15"/>
      <c r="I21" s="15"/>
    </row>
    <row r="22" spans="1:9" x14ac:dyDescent="0.3">
      <c r="E22" s="15"/>
      <c r="F22" s="15"/>
      <c r="G22" s="15"/>
      <c r="H22" s="15"/>
      <c r="I22" s="15"/>
    </row>
    <row r="23" spans="1:9" x14ac:dyDescent="0.3">
      <c r="A23" s="11" t="s">
        <v>38</v>
      </c>
      <c r="E23" s="15">
        <f>SUM(G5:G22)-SUM(E5:E22)</f>
        <v>4906.880000000001</v>
      </c>
      <c r="F23" s="15"/>
      <c r="G23" s="15"/>
      <c r="H23" s="15"/>
      <c r="I23" s="15"/>
    </row>
    <row r="24" spans="1:9" x14ac:dyDescent="0.3">
      <c r="E24" s="15"/>
      <c r="F24" s="15"/>
      <c r="G24" s="15"/>
      <c r="H24" s="15"/>
      <c r="I24" s="15"/>
    </row>
    <row r="25" spans="1:9" ht="15" thickBot="1" x14ac:dyDescent="0.35">
      <c r="E25" s="22">
        <f>SUM(E5:E24)</f>
        <v>27213.079999999998</v>
      </c>
      <c r="F25" s="23"/>
      <c r="G25" s="22">
        <f>SUM(G5:G24)</f>
        <v>27213.079999999998</v>
      </c>
      <c r="H25" s="15"/>
      <c r="I25" s="15">
        <f>E25-G25</f>
        <v>0</v>
      </c>
    </row>
    <row r="26" spans="1:9" ht="15" thickTop="1" x14ac:dyDescent="0.3">
      <c r="E26" s="15"/>
      <c r="F26" s="15"/>
      <c r="G26" s="15"/>
      <c r="H26" s="15"/>
      <c r="I26" s="15"/>
    </row>
    <row r="27" spans="1:9" x14ac:dyDescent="0.3">
      <c r="I27" s="15"/>
    </row>
    <row r="28" spans="1:9" x14ac:dyDescent="0.3">
      <c r="A28" s="25" t="s">
        <v>81</v>
      </c>
      <c r="C28" s="12"/>
      <c r="E28" s="15"/>
      <c r="I28" s="15"/>
    </row>
    <row r="29" spans="1:9" x14ac:dyDescent="0.3">
      <c r="A29" t="s">
        <v>70</v>
      </c>
      <c r="E29" s="15">
        <f>5406.99</f>
        <v>5406.99</v>
      </c>
      <c r="G29" s="15"/>
      <c r="I29" s="15"/>
    </row>
    <row r="30" spans="1:9" x14ac:dyDescent="0.3">
      <c r="A30" t="s">
        <v>74</v>
      </c>
      <c r="E30" s="15">
        <f>-10.87-10.87-10.87-137.5-330</f>
        <v>-500.11</v>
      </c>
      <c r="G30" s="15"/>
      <c r="I30" s="15"/>
    </row>
    <row r="31" spans="1:9" x14ac:dyDescent="0.3">
      <c r="E31" s="15"/>
      <c r="G31" s="15"/>
      <c r="I31" s="15"/>
    </row>
    <row r="32" spans="1:9" ht="15" thickBot="1" x14ac:dyDescent="0.35">
      <c r="E32" s="22">
        <f>SUM(E28:E31)</f>
        <v>4906.88</v>
      </c>
      <c r="G32" s="23"/>
    </row>
    <row r="33" spans="5:5" ht="15" thickTop="1" x14ac:dyDescent="0.3">
      <c r="E33" s="15"/>
    </row>
  </sheetData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8"/>
  <sheetViews>
    <sheetView tabSelected="1" zoomScale="110" zoomScaleNormal="110" workbookViewId="0">
      <pane xSplit="3" ySplit="4" topLeftCell="I41" activePane="bottomRight" state="frozen"/>
      <selection pane="topRight" activeCell="D1" sqref="D1"/>
      <selection pane="bottomLeft" activeCell="A5" sqref="A5"/>
      <selection pane="bottomRight" activeCell="O50" sqref="O50"/>
    </sheetView>
  </sheetViews>
  <sheetFormatPr defaultColWidth="9.109375" defaultRowHeight="13.8" x14ac:dyDescent="0.25"/>
  <cols>
    <col min="1" max="1" width="43.5546875" style="1" customWidth="1"/>
    <col min="2" max="3" width="14.5546875" style="1" bestFit="1" customWidth="1"/>
    <col min="4" max="4" width="14.21875" style="1" bestFit="1" customWidth="1"/>
    <col min="5" max="5" width="12.6640625" style="1" bestFit="1" customWidth="1"/>
    <col min="6" max="6" width="14.5546875" style="1" bestFit="1" customWidth="1"/>
    <col min="7" max="7" width="12.6640625" style="1" bestFit="1" customWidth="1"/>
    <col min="8" max="8" width="11.5546875" style="1" bestFit="1" customWidth="1"/>
    <col min="9" max="9" width="15.33203125" style="1" bestFit="1" customWidth="1"/>
    <col min="10" max="11" width="12.6640625" style="1" bestFit="1" customWidth="1"/>
    <col min="12" max="13" width="14.5546875" style="1" bestFit="1" customWidth="1"/>
    <col min="14" max="14" width="9.44140625" style="1" bestFit="1" customWidth="1"/>
    <col min="15" max="16" width="14.21875" style="1" bestFit="1" customWidth="1"/>
    <col min="17" max="16384" width="9.109375" style="1"/>
  </cols>
  <sheetData>
    <row r="1" spans="1:16" s="2" customFormat="1" x14ac:dyDescent="0.25">
      <c r="A1" s="2" t="s">
        <v>28</v>
      </c>
    </row>
    <row r="2" spans="1:16" s="2" customFormat="1" x14ac:dyDescent="0.25">
      <c r="A2" s="2" t="s">
        <v>78</v>
      </c>
      <c r="C2" s="8"/>
      <c r="F2" s="8"/>
      <c r="N2" s="24"/>
    </row>
    <row r="3" spans="1:16" s="2" customFormat="1" x14ac:dyDescent="0.25"/>
    <row r="4" spans="1:16" s="2" customFormat="1" x14ac:dyDescent="0.25">
      <c r="B4" s="27">
        <v>45022</v>
      </c>
      <c r="C4" s="27"/>
      <c r="D4" s="28" t="s">
        <v>31</v>
      </c>
      <c r="E4" s="28"/>
      <c r="F4" s="28" t="s">
        <v>0</v>
      </c>
      <c r="G4" s="28"/>
      <c r="H4" s="2" t="s">
        <v>1</v>
      </c>
      <c r="I4" s="2" t="s">
        <v>2</v>
      </c>
      <c r="J4" s="28" t="s">
        <v>14</v>
      </c>
      <c r="K4" s="28"/>
      <c r="L4" s="28" t="s">
        <v>3</v>
      </c>
      <c r="M4" s="28"/>
    </row>
    <row r="5" spans="1:16" s="2" customFormat="1" x14ac:dyDescent="0.25">
      <c r="B5" s="9"/>
      <c r="C5" s="9"/>
      <c r="D5" s="10"/>
      <c r="E5" s="10"/>
      <c r="F5" s="10"/>
      <c r="G5" s="10"/>
      <c r="J5" s="10"/>
      <c r="K5" s="10"/>
      <c r="L5" s="10"/>
      <c r="M5" s="10"/>
    </row>
    <row r="6" spans="1:16" x14ac:dyDescent="0.25">
      <c r="B6" s="3"/>
      <c r="C6" s="3"/>
      <c r="D6" s="3"/>
      <c r="E6" s="3"/>
      <c r="F6" s="3"/>
      <c r="G6" s="3"/>
      <c r="H6" s="4"/>
      <c r="I6" s="4"/>
      <c r="J6" s="4"/>
      <c r="K6" s="4"/>
      <c r="L6" s="3"/>
      <c r="M6" s="3"/>
    </row>
    <row r="7" spans="1:16" x14ac:dyDescent="0.25">
      <c r="A7" s="1" t="s">
        <v>4</v>
      </c>
      <c r="B7" s="4">
        <v>605381.6</v>
      </c>
      <c r="C7" s="4"/>
      <c r="D7" s="4"/>
      <c r="E7" s="4"/>
      <c r="F7" s="4"/>
      <c r="G7" s="4"/>
      <c r="H7" s="4"/>
      <c r="I7" s="4"/>
      <c r="J7" s="4"/>
      <c r="K7" s="4"/>
      <c r="L7" s="4">
        <f>B7+D7+F7+H7-C7-E7-G7-I7</f>
        <v>605381.6</v>
      </c>
      <c r="M7" s="4"/>
      <c r="P7" s="4">
        <f>B7-C7+D7-E7+F7-G7+H7-I7-J7+K7-L7+M7</f>
        <v>0</v>
      </c>
    </row>
    <row r="8" spans="1:16" x14ac:dyDescent="0.25">
      <c r="A8" s="1" t="s">
        <v>32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P8" s="4">
        <f t="shared" ref="P8:P49" si="0">B8-C8+D8-E8+F8-G8+H8-I8-J8+K8-L8+M8</f>
        <v>0</v>
      </c>
    </row>
    <row r="9" spans="1:16" x14ac:dyDescent="0.25">
      <c r="A9" s="1" t="s">
        <v>65</v>
      </c>
      <c r="B9" s="4">
        <v>220500</v>
      </c>
      <c r="C9" s="4"/>
      <c r="D9" s="4"/>
      <c r="E9" s="4"/>
      <c r="F9" s="4"/>
      <c r="G9" s="4"/>
      <c r="H9" s="4"/>
      <c r="I9" s="4"/>
      <c r="J9" s="4"/>
      <c r="K9" s="4">
        <v>551118.4</v>
      </c>
      <c r="L9" s="4">
        <f>B9+K9</f>
        <v>771618.4</v>
      </c>
      <c r="M9" s="4"/>
      <c r="P9" s="4">
        <f t="shared" si="0"/>
        <v>0</v>
      </c>
    </row>
    <row r="10" spans="1:16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P10" s="4">
        <f t="shared" si="0"/>
        <v>0</v>
      </c>
    </row>
    <row r="11" spans="1:16" x14ac:dyDescent="0.25">
      <c r="A11" s="1" t="s">
        <v>30</v>
      </c>
      <c r="B11" s="4">
        <f>ETB!A218</f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>
        <f>C11+E11+G11+I11-B11-D11-F11-H11-K11+J11+L11</f>
        <v>0</v>
      </c>
      <c r="P11" s="4">
        <f t="shared" si="0"/>
        <v>0</v>
      </c>
    </row>
    <row r="12" spans="1:16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P12" s="4">
        <f t="shared" si="0"/>
        <v>0</v>
      </c>
    </row>
    <row r="13" spans="1:16" x14ac:dyDescent="0.25">
      <c r="A13" s="1" t="s">
        <v>26</v>
      </c>
      <c r="B13" s="4">
        <v>338213.51</v>
      </c>
      <c r="C13" s="4"/>
      <c r="D13" s="4"/>
      <c r="E13" s="4"/>
      <c r="F13" s="4">
        <f>98586.96+19717.39</f>
        <v>118304.35</v>
      </c>
      <c r="G13" s="4">
        <f>456517.86-4736.14</f>
        <v>451781.72</v>
      </c>
      <c r="H13" s="4"/>
      <c r="I13" s="4"/>
      <c r="J13" s="4"/>
      <c r="K13" s="4"/>
      <c r="L13" s="4">
        <f>B13+D13+F13+H13-C13-E13-I13-J13+K13-G13</f>
        <v>4736.140000000014</v>
      </c>
      <c r="M13" s="4"/>
      <c r="P13" s="4">
        <f t="shared" si="0"/>
        <v>0</v>
      </c>
    </row>
    <row r="14" spans="1:16" x14ac:dyDescent="0.25">
      <c r="A14" s="1" t="s">
        <v>34</v>
      </c>
      <c r="C14" s="4"/>
      <c r="D14" s="4">
        <v>23385</v>
      </c>
      <c r="E14" s="4">
        <v>43958.94</v>
      </c>
      <c r="F14" s="4">
        <f>4651.93+4413.61+5248.5+6259.9</f>
        <v>20573.940000000002</v>
      </c>
      <c r="G14" s="4"/>
      <c r="H14" s="4"/>
      <c r="I14" s="4"/>
      <c r="J14" s="4"/>
      <c r="K14" s="4"/>
      <c r="L14" s="4">
        <f>B14+D14+F14+H14-C14-E14-I14-J14+K14-G14</f>
        <v>0</v>
      </c>
      <c r="M14" s="4"/>
      <c r="P14" s="4">
        <f t="shared" si="0"/>
        <v>0</v>
      </c>
    </row>
    <row r="15" spans="1:16" x14ac:dyDescent="0.2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P15" s="4">
        <f t="shared" si="0"/>
        <v>0</v>
      </c>
    </row>
    <row r="16" spans="1:16" x14ac:dyDescent="0.25">
      <c r="A16" s="1" t="s">
        <v>29</v>
      </c>
      <c r="B16" s="4">
        <v>22683.58</v>
      </c>
      <c r="C16" s="4"/>
      <c r="D16" s="4">
        <f>66642.52-22683.58</f>
        <v>43958.94</v>
      </c>
      <c r="E16" s="4">
        <f>66642.52-10068.58</f>
        <v>56573.94</v>
      </c>
      <c r="F16" s="4"/>
      <c r="G16" s="4"/>
      <c r="H16" s="4"/>
      <c r="I16" s="4"/>
      <c r="J16" s="4"/>
      <c r="K16" s="4"/>
      <c r="L16" s="4">
        <f>B16-C16+D16-E16+F16-G16+H16-I16</f>
        <v>10068.580000000002</v>
      </c>
      <c r="M16" s="4"/>
      <c r="P16" s="4">
        <f t="shared" si="0"/>
        <v>0</v>
      </c>
    </row>
    <row r="17" spans="1:18" x14ac:dyDescent="0.25">
      <c r="A17" s="1" t="s">
        <v>73</v>
      </c>
      <c r="B17" s="4">
        <v>23324.880000000001</v>
      </c>
      <c r="C17" s="4"/>
      <c r="D17" s="4">
        <f>81.29+26.37</f>
        <v>107.66000000000001</v>
      </c>
      <c r="E17" s="4">
        <v>23385</v>
      </c>
      <c r="F17" s="4"/>
      <c r="G17" s="4"/>
      <c r="H17" s="4"/>
      <c r="I17" s="4"/>
      <c r="J17" s="4"/>
      <c r="K17" s="4"/>
      <c r="L17" s="4">
        <f>B17-C17+D17-E17+F17-G17+H17-I17</f>
        <v>47.540000000000873</v>
      </c>
      <c r="M17" s="4"/>
      <c r="P17" s="4">
        <f t="shared" si="0"/>
        <v>0</v>
      </c>
    </row>
    <row r="18" spans="1:18" x14ac:dyDescent="0.25">
      <c r="A18" s="1" t="s">
        <v>33</v>
      </c>
      <c r="B18" s="4">
        <v>87.28</v>
      </c>
      <c r="C18" s="4"/>
      <c r="D18" s="4">
        <f>0.3+0.55</f>
        <v>0.85000000000000009</v>
      </c>
      <c r="E18" s="4"/>
      <c r="F18" s="4"/>
      <c r="G18" s="4"/>
      <c r="H18" s="4"/>
      <c r="I18" s="4"/>
      <c r="J18" s="4"/>
      <c r="K18" s="4"/>
      <c r="L18" s="4">
        <f>B18-C18+D18-E18+F18-G18+H18-I18</f>
        <v>88.13</v>
      </c>
      <c r="M18" s="4"/>
      <c r="P18" s="4">
        <f t="shared" si="0"/>
        <v>0</v>
      </c>
    </row>
    <row r="19" spans="1:18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P19" s="4">
        <f t="shared" si="0"/>
        <v>0</v>
      </c>
    </row>
    <row r="20" spans="1:18" x14ac:dyDescent="0.25">
      <c r="A20" s="1" t="s">
        <v>5</v>
      </c>
      <c r="B20" s="4"/>
      <c r="C20" s="4"/>
      <c r="D20" s="4"/>
      <c r="E20" s="4"/>
      <c r="F20" s="4"/>
      <c r="G20" s="4">
        <v>103811.97</v>
      </c>
      <c r="H20" s="4"/>
      <c r="I20" s="4"/>
      <c r="J20" s="4"/>
      <c r="K20" s="4">
        <f>C20+E20+G20+I20-B20-D20-F20-H20</f>
        <v>103811.97</v>
      </c>
      <c r="L20" s="4"/>
      <c r="M20" s="4"/>
      <c r="P20" s="4">
        <f t="shared" si="0"/>
        <v>0</v>
      </c>
    </row>
    <row r="21" spans="1:18" x14ac:dyDescent="0.25">
      <c r="A21" s="1" t="s">
        <v>15</v>
      </c>
      <c r="B21" s="4"/>
      <c r="C21" s="4"/>
      <c r="D21" s="4"/>
      <c r="E21" s="4"/>
      <c r="F21" s="4"/>
      <c r="G21" s="4">
        <v>8868.2800000000007</v>
      </c>
      <c r="H21" s="4"/>
      <c r="I21" s="4"/>
      <c r="J21" s="4"/>
      <c r="K21" s="4">
        <f>C21+E21+G21+I21-B21-D21-F21-H21</f>
        <v>8868.2800000000007</v>
      </c>
      <c r="L21" s="4"/>
      <c r="M21" s="4"/>
      <c r="P21" s="4">
        <f t="shared" si="0"/>
        <v>0</v>
      </c>
    </row>
    <row r="22" spans="1:18" x14ac:dyDescent="0.25">
      <c r="A22" s="1" t="s">
        <v>16</v>
      </c>
      <c r="B22" s="4"/>
      <c r="C22" s="4"/>
      <c r="D22" s="4"/>
      <c r="E22" s="4">
        <f>0.85+107.66</f>
        <v>108.50999999999999</v>
      </c>
      <c r="F22" s="4"/>
      <c r="G22" s="4"/>
      <c r="H22" s="4"/>
      <c r="I22" s="4"/>
      <c r="J22" s="4"/>
      <c r="K22" s="4">
        <f>C22+E22+G22+I22-B22-D22-F22-H22</f>
        <v>108.50999999999999</v>
      </c>
      <c r="L22" s="4"/>
      <c r="M22" s="4"/>
      <c r="P22" s="4">
        <f t="shared" si="0"/>
        <v>0</v>
      </c>
    </row>
    <row r="23" spans="1:18" x14ac:dyDescent="0.25">
      <c r="A23" s="1" t="s">
        <v>6</v>
      </c>
      <c r="B23" s="4"/>
      <c r="C23" s="4"/>
      <c r="D23" s="4"/>
      <c r="E23" s="4"/>
      <c r="F23" s="4"/>
      <c r="G23" s="4"/>
      <c r="H23" s="4"/>
      <c r="I23" s="4"/>
      <c r="J23" s="4"/>
      <c r="K23" s="4">
        <f>C23+E23+G23+I23-B23-D23-F23-H23</f>
        <v>0</v>
      </c>
      <c r="L23" s="4"/>
      <c r="M23" s="4"/>
      <c r="P23" s="4">
        <f t="shared" si="0"/>
        <v>0</v>
      </c>
    </row>
    <row r="24" spans="1:18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P24" s="4">
        <f t="shared" si="0"/>
        <v>0</v>
      </c>
    </row>
    <row r="25" spans="1:18" x14ac:dyDescent="0.25">
      <c r="A25" s="1" t="s">
        <v>79</v>
      </c>
      <c r="B25" s="4"/>
      <c r="C25" s="4"/>
      <c r="D25" s="4">
        <v>36000</v>
      </c>
      <c r="E25" s="4"/>
      <c r="F25" s="4">
        <f>120769+120769+120769+10000+10000+10000+6000+6000+6000</f>
        <v>410307</v>
      </c>
      <c r="G25" s="4"/>
      <c r="H25" s="4"/>
      <c r="I25" s="4"/>
      <c r="J25" s="4">
        <f>D25+F25</f>
        <v>446307</v>
      </c>
      <c r="K25" s="4">
        <f>G25</f>
        <v>0</v>
      </c>
      <c r="L25" s="4"/>
      <c r="M25" s="4"/>
      <c r="P25" s="4">
        <f t="shared" si="0"/>
        <v>0</v>
      </c>
    </row>
    <row r="26" spans="1:18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P26" s="4">
        <f t="shared" si="0"/>
        <v>0</v>
      </c>
    </row>
    <row r="27" spans="1:18" x14ac:dyDescent="0.25">
      <c r="A27" s="1" t="s">
        <v>35</v>
      </c>
      <c r="B27" s="4">
        <v>7800</v>
      </c>
      <c r="C27" s="4"/>
      <c r="D27" s="4"/>
      <c r="E27" s="4"/>
      <c r="F27" s="4">
        <v>135216.29999999999</v>
      </c>
      <c r="G27" s="4">
        <v>118304.35</v>
      </c>
      <c r="H27" s="4"/>
      <c r="I27" s="4"/>
      <c r="J27" s="4"/>
      <c r="K27" s="4"/>
      <c r="L27" s="4">
        <f>B27+D27+F27+H27-C27-E27-G27-I27</f>
        <v>24711.949999999983</v>
      </c>
      <c r="M27" s="4"/>
      <c r="P27" s="4">
        <f t="shared" si="0"/>
        <v>0</v>
      </c>
    </row>
    <row r="28" spans="1:18" x14ac:dyDescent="0.25">
      <c r="B28" s="4"/>
      <c r="C28" s="4"/>
      <c r="D28" s="4"/>
      <c r="E28" s="4"/>
      <c r="G28" s="4"/>
      <c r="H28" s="4"/>
      <c r="I28" s="4"/>
      <c r="J28" s="4">
        <f t="shared" ref="J28:J44" si="1">B28-C28+D28-E28+F28-G28+H28-I28</f>
        <v>0</v>
      </c>
      <c r="K28" s="4"/>
      <c r="L28" s="4"/>
      <c r="M28" s="4"/>
      <c r="P28" s="4">
        <f t="shared" si="0"/>
        <v>0</v>
      </c>
    </row>
    <row r="29" spans="1:18" x14ac:dyDescent="0.25">
      <c r="A29" s="1" t="s">
        <v>7</v>
      </c>
      <c r="B29" s="4"/>
      <c r="C29" s="4"/>
      <c r="D29" s="4"/>
      <c r="E29" s="4"/>
      <c r="F29" s="4">
        <f>3028.74+1031.71+4807.83</f>
        <v>8868.2799999999988</v>
      </c>
      <c r="G29" s="4"/>
      <c r="H29" s="4"/>
      <c r="I29" s="4"/>
      <c r="J29" s="4">
        <f t="shared" si="1"/>
        <v>8868.2799999999988</v>
      </c>
      <c r="K29" s="4"/>
      <c r="L29" s="4"/>
      <c r="M29" s="4"/>
      <c r="P29" s="4">
        <f t="shared" si="0"/>
        <v>0</v>
      </c>
    </row>
    <row r="30" spans="1:18" x14ac:dyDescent="0.25">
      <c r="A30" s="1" t="s">
        <v>36</v>
      </c>
      <c r="B30" s="4"/>
      <c r="C30" s="4"/>
      <c r="D30" s="4"/>
      <c r="E30" s="4"/>
      <c r="F30" s="4"/>
      <c r="G30" s="4"/>
      <c r="H30" s="4"/>
      <c r="I30" s="4"/>
      <c r="J30" s="4">
        <f t="shared" si="1"/>
        <v>0</v>
      </c>
      <c r="K30" s="4"/>
      <c r="L30" s="4"/>
      <c r="M30" s="4"/>
      <c r="P30" s="4">
        <f t="shared" si="0"/>
        <v>0</v>
      </c>
    </row>
    <row r="31" spans="1:18" x14ac:dyDescent="0.25">
      <c r="A31" s="1" t="s">
        <v>21</v>
      </c>
      <c r="B31" s="4"/>
      <c r="C31" s="4"/>
      <c r="D31" s="4"/>
      <c r="E31" s="4"/>
      <c r="F31" s="4"/>
      <c r="G31" s="4"/>
      <c r="H31" s="4"/>
      <c r="I31" s="4"/>
      <c r="J31" s="4">
        <f t="shared" si="1"/>
        <v>0</v>
      </c>
      <c r="K31" s="4"/>
      <c r="L31" s="4"/>
      <c r="M31" s="4"/>
      <c r="P31" s="4">
        <f t="shared" si="0"/>
        <v>0</v>
      </c>
    </row>
    <row r="32" spans="1:18" x14ac:dyDescent="0.25">
      <c r="A32" s="1" t="s">
        <v>17</v>
      </c>
      <c r="B32" s="4">
        <v>0</v>
      </c>
      <c r="C32" s="4">
        <v>0</v>
      </c>
      <c r="D32" s="4"/>
      <c r="E32" s="4"/>
      <c r="F32" s="4"/>
      <c r="G32" s="4"/>
      <c r="H32" s="4"/>
      <c r="I32" s="4"/>
      <c r="J32" s="4">
        <f t="shared" si="1"/>
        <v>0</v>
      </c>
      <c r="K32" s="4"/>
      <c r="L32" s="4"/>
      <c r="M32" s="4"/>
      <c r="P32" s="4"/>
      <c r="R32" s="1">
        <f>64809.9+14122.8-7800</f>
        <v>71132.7</v>
      </c>
    </row>
    <row r="33" spans="1:19" x14ac:dyDescent="0.25">
      <c r="A33" s="1" t="s">
        <v>18</v>
      </c>
      <c r="B33" s="4"/>
      <c r="C33" s="4"/>
      <c r="D33" s="4"/>
      <c r="E33" s="4"/>
      <c r="F33" s="4"/>
      <c r="G33" s="4"/>
      <c r="H33" s="4"/>
      <c r="I33" s="4"/>
      <c r="J33" s="4">
        <f t="shared" si="1"/>
        <v>0</v>
      </c>
      <c r="K33" s="4"/>
      <c r="L33" s="4"/>
      <c r="M33" s="4"/>
      <c r="P33" s="4">
        <f t="shared" si="0"/>
        <v>0</v>
      </c>
    </row>
    <row r="34" spans="1:19" x14ac:dyDescent="0.25">
      <c r="A34" s="1" t="s">
        <v>19</v>
      </c>
      <c r="B34" s="4"/>
      <c r="C34" s="4"/>
      <c r="D34" s="4"/>
      <c r="E34" s="4"/>
      <c r="F34" s="4"/>
      <c r="G34" s="4"/>
      <c r="H34" s="4"/>
      <c r="I34" s="4"/>
      <c r="J34" s="4">
        <f t="shared" si="1"/>
        <v>0</v>
      </c>
      <c r="K34" s="4"/>
      <c r="L34" s="4"/>
      <c r="M34" s="4"/>
      <c r="P34" s="4">
        <f t="shared" si="0"/>
        <v>0</v>
      </c>
    </row>
    <row r="35" spans="1:19" x14ac:dyDescent="0.25">
      <c r="A35" s="1" t="s">
        <v>72</v>
      </c>
      <c r="B35" s="4"/>
      <c r="C35" s="4"/>
      <c r="D35" s="4"/>
      <c r="E35" s="4"/>
      <c r="F35" s="4"/>
      <c r="G35" s="4"/>
      <c r="H35" s="4"/>
      <c r="I35" s="4"/>
      <c r="J35" s="4">
        <f t="shared" si="1"/>
        <v>0</v>
      </c>
      <c r="K35" s="4"/>
      <c r="L35" s="4"/>
      <c r="M35" s="4"/>
      <c r="P35" s="4"/>
    </row>
    <row r="36" spans="1:19" x14ac:dyDescent="0.25">
      <c r="A36" s="1" t="s">
        <v>8</v>
      </c>
      <c r="B36" s="4"/>
      <c r="C36" s="4"/>
      <c r="D36" s="4"/>
      <c r="E36" s="4"/>
      <c r="F36" s="4"/>
      <c r="G36" s="4"/>
      <c r="H36" s="4"/>
      <c r="I36" s="4"/>
      <c r="J36" s="4">
        <f t="shared" si="1"/>
        <v>0</v>
      </c>
      <c r="K36" s="4"/>
      <c r="L36" s="4"/>
      <c r="M36" s="4"/>
      <c r="P36" s="4">
        <f t="shared" si="0"/>
        <v>0</v>
      </c>
    </row>
    <row r="37" spans="1:19" x14ac:dyDescent="0.25">
      <c r="A37" s="1" t="s">
        <v>9</v>
      </c>
      <c r="B37" s="4">
        <v>0</v>
      </c>
      <c r="C37" s="4">
        <v>0</v>
      </c>
      <c r="D37" s="4"/>
      <c r="E37" s="4"/>
      <c r="F37" s="4"/>
      <c r="G37" s="4"/>
      <c r="H37" s="4"/>
      <c r="I37" s="4"/>
      <c r="J37" s="4">
        <f t="shared" si="1"/>
        <v>0</v>
      </c>
      <c r="K37" s="4"/>
      <c r="L37" s="4" t="s">
        <v>62</v>
      </c>
      <c r="M37" s="4"/>
      <c r="P37" s="4"/>
    </row>
    <row r="38" spans="1:19" x14ac:dyDescent="0.25">
      <c r="A38" s="1" t="s">
        <v>10</v>
      </c>
      <c r="B38" s="4"/>
      <c r="C38" s="4"/>
      <c r="D38" s="4"/>
      <c r="E38" s="4"/>
      <c r="F38" s="4"/>
      <c r="G38" s="4"/>
      <c r="H38" s="4">
        <v>237.5</v>
      </c>
      <c r="I38" s="4"/>
      <c r="J38" s="4">
        <f t="shared" si="1"/>
        <v>237.5</v>
      </c>
      <c r="K38" s="4"/>
      <c r="L38" s="4"/>
      <c r="M38" s="4"/>
      <c r="P38" s="4">
        <f t="shared" si="0"/>
        <v>0</v>
      </c>
      <c r="R38" s="1">
        <f>15909.74+17262.61</f>
        <v>33172.35</v>
      </c>
    </row>
    <row r="39" spans="1:19" x14ac:dyDescent="0.25">
      <c r="A39" s="1" t="s">
        <v>11</v>
      </c>
      <c r="B39" s="4"/>
      <c r="C39" s="4"/>
      <c r="D39" s="4"/>
      <c r="E39" s="4"/>
      <c r="F39" s="4"/>
      <c r="G39" s="4"/>
      <c r="H39" s="4"/>
      <c r="I39" s="4"/>
      <c r="J39" s="4">
        <f t="shared" si="1"/>
        <v>0</v>
      </c>
      <c r="K39" s="4"/>
      <c r="L39" s="4"/>
      <c r="M39" s="4"/>
      <c r="P39" s="4">
        <f t="shared" si="0"/>
        <v>0</v>
      </c>
      <c r="R39" s="1">
        <f>22769.62+1152.17+3469.55+693.9+10402.73</f>
        <v>38487.97</v>
      </c>
    </row>
    <row r="40" spans="1:19" x14ac:dyDescent="0.25">
      <c r="A40" s="1" t="s">
        <v>20</v>
      </c>
      <c r="B40" s="4"/>
      <c r="C40" s="4"/>
      <c r="D40" s="4"/>
      <c r="E40" s="4"/>
      <c r="F40" s="4">
        <f>1328.83+3676.58+91.58</f>
        <v>5096.99</v>
      </c>
      <c r="G40" s="4"/>
      <c r="H40" s="4"/>
      <c r="I40" s="4"/>
      <c r="J40" s="4">
        <f>B40-C40+D40-E40+F40-G40+H40-I40</f>
        <v>5096.99</v>
      </c>
      <c r="K40" s="4"/>
      <c r="L40" s="4"/>
      <c r="M40" s="4"/>
      <c r="P40" s="4">
        <f t="shared" si="0"/>
        <v>0</v>
      </c>
      <c r="R40" s="1">
        <f>R39-R38</f>
        <v>5315.6200000000026</v>
      </c>
    </row>
    <row r="41" spans="1:19" x14ac:dyDescent="0.25">
      <c r="A41" s="1" t="s">
        <v>12</v>
      </c>
      <c r="B41" s="4"/>
      <c r="C41" s="4"/>
      <c r="D41" s="4"/>
      <c r="E41" s="4"/>
      <c r="F41" s="4">
        <v>3564.25</v>
      </c>
      <c r="G41" s="4"/>
      <c r="H41" s="4"/>
      <c r="I41" s="4"/>
      <c r="J41" s="4">
        <f t="shared" si="1"/>
        <v>3564.25</v>
      </c>
      <c r="K41" s="4"/>
      <c r="L41" s="4"/>
      <c r="M41" s="4"/>
      <c r="P41" s="4">
        <f t="shared" si="0"/>
        <v>0</v>
      </c>
      <c r="S41" s="1">
        <f>17012.61-10402.73</f>
        <v>6609.880000000001</v>
      </c>
    </row>
    <row r="42" spans="1:19" x14ac:dyDescent="0.25">
      <c r="A42" s="1" t="s">
        <v>22</v>
      </c>
      <c r="B42" s="4"/>
      <c r="C42" s="4"/>
      <c r="D42" s="4"/>
      <c r="E42" s="4"/>
      <c r="F42" s="4"/>
      <c r="G42" s="4"/>
      <c r="H42" s="4"/>
      <c r="I42" s="4"/>
      <c r="J42" s="4">
        <f t="shared" si="1"/>
        <v>0</v>
      </c>
      <c r="K42" s="4"/>
      <c r="L42" s="4"/>
      <c r="M42" s="4"/>
      <c r="P42" s="4">
        <f t="shared" si="0"/>
        <v>0</v>
      </c>
    </row>
    <row r="43" spans="1:19" x14ac:dyDescent="0.25">
      <c r="A43" s="1" t="s">
        <v>23</v>
      </c>
      <c r="B43" s="4"/>
      <c r="C43" s="4"/>
      <c r="D43" s="4"/>
      <c r="E43" s="4"/>
      <c r="F43" s="4"/>
      <c r="G43" s="4"/>
      <c r="H43" s="4"/>
      <c r="I43" s="4"/>
      <c r="J43" s="4">
        <f t="shared" si="1"/>
        <v>0</v>
      </c>
      <c r="K43" s="4"/>
      <c r="L43" s="4"/>
      <c r="M43" s="4"/>
      <c r="P43" s="4">
        <f t="shared" si="0"/>
        <v>0</v>
      </c>
    </row>
    <row r="44" spans="1:19" x14ac:dyDescent="0.25">
      <c r="A44" s="1" t="s">
        <v>13</v>
      </c>
      <c r="B44" s="4"/>
      <c r="C44" s="4"/>
      <c r="D44" s="4"/>
      <c r="E44" s="4"/>
      <c r="F44" s="4">
        <f>812.18+413.41+413.41</f>
        <v>1639</v>
      </c>
      <c r="G44" s="4"/>
      <c r="H44" s="4"/>
      <c r="I44" s="4"/>
      <c r="J44" s="4">
        <f t="shared" si="1"/>
        <v>1639</v>
      </c>
      <c r="K44" s="4"/>
      <c r="L44" s="4"/>
      <c r="M44" s="4"/>
      <c r="P44" s="4">
        <f t="shared" si="0"/>
        <v>0</v>
      </c>
    </row>
    <row r="45" spans="1:19" x14ac:dyDescent="0.25">
      <c r="A45" s="1" t="s">
        <v>24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P45" s="4">
        <f t="shared" si="0"/>
        <v>0</v>
      </c>
    </row>
    <row r="46" spans="1:19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P46" s="4"/>
    </row>
    <row r="47" spans="1:19" x14ac:dyDescent="0.25">
      <c r="A47" s="1" t="s">
        <v>25</v>
      </c>
      <c r="B47" s="4"/>
      <c r="C47" s="4">
        <v>4677.03</v>
      </c>
      <c r="D47" s="4">
        <v>20573.939999999999</v>
      </c>
      <c r="E47" s="4"/>
      <c r="F47" s="4">
        <f>1019.41+712.85</f>
        <v>1732.26</v>
      </c>
      <c r="G47" s="4">
        <v>22536.05</v>
      </c>
      <c r="H47" s="4">
        <v>4906.88</v>
      </c>
      <c r="I47" s="4"/>
      <c r="J47" s="4"/>
      <c r="K47" s="4"/>
      <c r="L47" s="4"/>
      <c r="M47" s="4"/>
      <c r="P47" s="4">
        <f t="shared" si="0"/>
        <v>-9.0949470177292824E-13</v>
      </c>
    </row>
    <row r="48" spans="1:19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P48" s="4">
        <f t="shared" si="0"/>
        <v>0</v>
      </c>
    </row>
    <row r="49" spans="1:16" x14ac:dyDescent="0.25">
      <c r="A49" s="1" t="s">
        <v>27</v>
      </c>
      <c r="B49" s="4"/>
      <c r="C49" s="4">
        <f>880127.24+61328.64+77022.76+57055.62+64248.56+73531</f>
        <v>1213313.82</v>
      </c>
      <c r="D49" s="4"/>
      <c r="E49" s="4"/>
      <c r="F49" s="4"/>
      <c r="G49" s="4"/>
      <c r="H49" s="4"/>
      <c r="I49" s="4"/>
      <c r="J49" s="4"/>
      <c r="K49" s="4"/>
      <c r="L49" s="4"/>
      <c r="M49" s="4">
        <f>C49-F49+G49</f>
        <v>1213313.82</v>
      </c>
      <c r="O49" s="4">
        <f>M49+M53</f>
        <v>1411507.96</v>
      </c>
      <c r="P49" s="4">
        <f t="shared" si="0"/>
        <v>0</v>
      </c>
    </row>
    <row r="50" spans="1:16" x14ac:dyDescent="0.25"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  <c r="M50" s="5"/>
    </row>
    <row r="51" spans="1:16" ht="14.4" thickBot="1" x14ac:dyDescent="0.3">
      <c r="B51" s="6">
        <f t="shared" ref="B51:J51" si="2">SUM(B6:B50)</f>
        <v>1217990.8499999999</v>
      </c>
      <c r="C51" s="6">
        <f t="shared" si="2"/>
        <v>1217990.8500000001</v>
      </c>
      <c r="D51" s="6">
        <f t="shared" si="2"/>
        <v>124026.39000000001</v>
      </c>
      <c r="E51" s="6">
        <f t="shared" si="2"/>
        <v>124026.39</v>
      </c>
      <c r="F51" s="6">
        <f t="shared" si="2"/>
        <v>705302.37000000011</v>
      </c>
      <c r="G51" s="6">
        <f t="shared" si="2"/>
        <v>705302.37</v>
      </c>
      <c r="H51" s="6">
        <f t="shared" si="2"/>
        <v>5144.38</v>
      </c>
      <c r="I51" s="6">
        <f t="shared" si="2"/>
        <v>0</v>
      </c>
      <c r="J51" s="4">
        <f t="shared" si="2"/>
        <v>465713.02</v>
      </c>
      <c r="K51" s="4">
        <f t="shared" ref="K51:M51" si="3">SUM(K6:K50)</f>
        <v>663907.16</v>
      </c>
      <c r="L51" s="4">
        <f t="shared" si="3"/>
        <v>1416652.34</v>
      </c>
      <c r="M51" s="4">
        <f t="shared" si="3"/>
        <v>1213313.82</v>
      </c>
    </row>
    <row r="52" spans="1:16" ht="14.4" thickTop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6" x14ac:dyDescent="0.25">
      <c r="B53" s="4"/>
      <c r="C53" s="4">
        <f>C51-B51</f>
        <v>0</v>
      </c>
      <c r="D53" s="4"/>
      <c r="E53" s="4">
        <f>E51-D51</f>
        <v>0</v>
      </c>
      <c r="F53" s="4"/>
      <c r="G53" s="4">
        <f>G51-F51</f>
        <v>0</v>
      </c>
      <c r="H53" s="4"/>
      <c r="I53" s="4"/>
      <c r="J53" s="4">
        <f>K51-J51</f>
        <v>198194.14</v>
      </c>
      <c r="K53" s="4"/>
      <c r="L53" s="4">
        <f>K53</f>
        <v>0</v>
      </c>
      <c r="M53" s="4">
        <f>J53</f>
        <v>198194.14</v>
      </c>
    </row>
    <row r="54" spans="1:16" x14ac:dyDescent="0.25">
      <c r="B54" s="4"/>
      <c r="C54" s="4"/>
      <c r="D54" s="4"/>
      <c r="E54" s="4"/>
      <c r="F54" s="4"/>
      <c r="G54" s="4">
        <f>G53/2</f>
        <v>0</v>
      </c>
      <c r="H54" s="4"/>
      <c r="I54" s="4"/>
      <c r="J54" s="4"/>
      <c r="K54" s="4"/>
      <c r="L54" s="4">
        <f>I51</f>
        <v>0</v>
      </c>
      <c r="M54" s="4">
        <f>H51</f>
        <v>5144.38</v>
      </c>
    </row>
    <row r="55" spans="1:16" ht="14.4" thickBot="1" x14ac:dyDescent="0.3">
      <c r="B55" s="4"/>
      <c r="C55" s="4">
        <f>C53/2</f>
        <v>0</v>
      </c>
      <c r="D55" s="4"/>
      <c r="E55" s="4"/>
      <c r="F55" s="4"/>
      <c r="G55" s="4"/>
      <c r="H55" s="4"/>
      <c r="I55" s="4"/>
      <c r="J55" s="7">
        <f>J53+J51</f>
        <v>663907.16</v>
      </c>
      <c r="K55" s="7">
        <f>K51</f>
        <v>663907.16</v>
      </c>
      <c r="L55" s="7">
        <f>SUM(L51:L54)</f>
        <v>1416652.34</v>
      </c>
      <c r="M55" s="7">
        <f>SUM(M51:M54)</f>
        <v>1416652.3399999999</v>
      </c>
    </row>
    <row r="56" spans="1:16" ht="14.4" thickTop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6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>
        <f>L55-M55</f>
        <v>0</v>
      </c>
    </row>
    <row r="58" spans="1:16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6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6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6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6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6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6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2:13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2:13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x14ac:dyDescent="0.25">
      <c r="B75" s="4"/>
      <c r="C75" s="4"/>
      <c r="D75" s="4"/>
      <c r="E75" s="4"/>
      <c r="F75" s="4"/>
      <c r="G75" s="4"/>
      <c r="H75" s="4"/>
      <c r="I75" s="4"/>
      <c r="J75" s="21"/>
      <c r="K75" s="21"/>
      <c r="L75" s="4"/>
      <c r="M75" s="4"/>
    </row>
    <row r="76" spans="2:13" x14ac:dyDescent="0.25">
      <c r="B76" s="4"/>
      <c r="C76" s="4"/>
      <c r="D76" s="4"/>
      <c r="E76" s="4"/>
      <c r="F76" s="4"/>
      <c r="G76" s="4"/>
      <c r="H76" s="4"/>
      <c r="I76" s="4"/>
      <c r="J76" s="21"/>
      <c r="K76" s="21"/>
      <c r="L76" s="4"/>
      <c r="M76" s="4"/>
    </row>
    <row r="77" spans="2:13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</sheetData>
  <mergeCells count="5">
    <mergeCell ref="B4:C4"/>
    <mergeCell ref="L4:M4"/>
    <mergeCell ref="F4:G4"/>
    <mergeCell ref="D4:E4"/>
    <mergeCell ref="J4:K4"/>
  </mergeCells>
  <printOptions gridLines="1"/>
  <pageMargins left="0.31496062992125984" right="1.1023622047244095" top="0.55118110236220474" bottom="0.55118110236220474" header="0.31496062992125984" footer="0.31496062992125984"/>
  <pageSetup paperSize="9" scale="65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4"/>
  <sheetViews>
    <sheetView topLeftCell="A41" workbookViewId="0">
      <selection activeCell="D18" sqref="D18"/>
    </sheetView>
  </sheetViews>
  <sheetFormatPr defaultColWidth="8.88671875" defaultRowHeight="13.2" x14ac:dyDescent="0.25"/>
  <cols>
    <col min="1" max="1" width="36.5546875" style="14" customWidth="1"/>
    <col min="2" max="3" width="11.6640625" style="14" customWidth="1"/>
    <col min="4" max="4" width="12.88671875" style="14" bestFit="1" customWidth="1"/>
    <col min="5" max="5" width="11.6640625" style="14" customWidth="1"/>
    <col min="6" max="16384" width="8.88671875" style="14"/>
  </cols>
  <sheetData>
    <row r="1" spans="1:6" ht="15.6" x14ac:dyDescent="0.3">
      <c r="A1" s="16" t="s">
        <v>40</v>
      </c>
    </row>
    <row r="2" spans="1:6" ht="15.6" x14ac:dyDescent="0.3">
      <c r="A2" s="16" t="s">
        <v>39</v>
      </c>
    </row>
    <row r="3" spans="1:6" ht="15.6" x14ac:dyDescent="0.3">
      <c r="A3" s="16" t="s">
        <v>76</v>
      </c>
    </row>
    <row r="4" spans="1:6" ht="15.6" x14ac:dyDescent="0.3">
      <c r="A4" s="16"/>
    </row>
    <row r="5" spans="1:6" x14ac:dyDescent="0.25">
      <c r="B5" s="17" t="s">
        <v>44</v>
      </c>
      <c r="C5" s="17" t="s">
        <v>44</v>
      </c>
      <c r="D5" s="17" t="s">
        <v>44</v>
      </c>
    </row>
    <row r="6" spans="1:6" x14ac:dyDescent="0.25">
      <c r="B6" s="18"/>
      <c r="C6" s="18"/>
      <c r="D6" s="18"/>
      <c r="E6" s="18"/>
      <c r="F6" s="18"/>
    </row>
    <row r="7" spans="1:6" ht="13.8" x14ac:dyDescent="0.25">
      <c r="A7" s="2" t="s">
        <v>41</v>
      </c>
      <c r="B7" s="18"/>
      <c r="C7" s="18"/>
      <c r="D7" s="18"/>
      <c r="E7" s="18"/>
      <c r="F7" s="18"/>
    </row>
    <row r="8" spans="1:6" ht="13.8" x14ac:dyDescent="0.25">
      <c r="A8" s="1" t="s">
        <v>42</v>
      </c>
      <c r="B8" s="18">
        <f>ETB!K20</f>
        <v>103811.97</v>
      </c>
      <c r="C8" s="18"/>
      <c r="D8" s="18"/>
      <c r="E8" s="18"/>
      <c r="F8" s="18"/>
    </row>
    <row r="9" spans="1:6" ht="13.8" x14ac:dyDescent="0.25">
      <c r="A9" s="1" t="s">
        <v>43</v>
      </c>
      <c r="B9" s="18">
        <f>ETB!K22</f>
        <v>108.50999999999999</v>
      </c>
      <c r="C9" s="18"/>
      <c r="D9" s="18"/>
      <c r="E9" s="18"/>
      <c r="F9" s="18"/>
    </row>
    <row r="10" spans="1:6" ht="13.8" x14ac:dyDescent="0.25">
      <c r="A10" s="1" t="s">
        <v>63</v>
      </c>
      <c r="B10" s="19">
        <f>ETB!K21</f>
        <v>8868.2800000000007</v>
      </c>
      <c r="D10" s="18"/>
      <c r="E10" s="18"/>
      <c r="F10" s="18"/>
    </row>
    <row r="11" spans="1:6" ht="13.8" x14ac:dyDescent="0.25">
      <c r="A11" s="1"/>
      <c r="B11" s="18"/>
      <c r="C11" s="18">
        <f>SUM(B8:B10)</f>
        <v>112788.76</v>
      </c>
      <c r="D11" s="18"/>
      <c r="E11" s="18"/>
      <c r="F11" s="18"/>
    </row>
    <row r="12" spans="1:6" ht="13.8" x14ac:dyDescent="0.25">
      <c r="A12" s="1"/>
      <c r="B12" s="18"/>
      <c r="C12" s="18"/>
      <c r="D12" s="18"/>
      <c r="E12" s="18"/>
      <c r="F12" s="18"/>
    </row>
    <row r="13" spans="1:6" ht="13.8" x14ac:dyDescent="0.25">
      <c r="A13" s="1" t="s">
        <v>65</v>
      </c>
      <c r="B13" s="18"/>
      <c r="C13" s="18">
        <f>ETB!K9</f>
        <v>551118.4</v>
      </c>
      <c r="D13" s="18"/>
      <c r="E13" s="18"/>
      <c r="F13" s="18"/>
    </row>
    <row r="14" spans="1:6" ht="13.8" x14ac:dyDescent="0.25">
      <c r="A14" s="1"/>
      <c r="B14" s="18"/>
      <c r="C14" s="18"/>
      <c r="D14" s="18"/>
      <c r="E14" s="18"/>
      <c r="F14" s="18"/>
    </row>
    <row r="15" spans="1:6" ht="13.8" x14ac:dyDescent="0.25">
      <c r="A15" s="2" t="s">
        <v>45</v>
      </c>
      <c r="B15" s="18"/>
      <c r="C15" s="18"/>
      <c r="D15" s="18"/>
      <c r="E15" s="18"/>
      <c r="F15" s="18"/>
    </row>
    <row r="16" spans="1:6" ht="13.8" x14ac:dyDescent="0.25">
      <c r="A16" s="1" t="s">
        <v>46</v>
      </c>
      <c r="B16" s="18">
        <f>ETB!J40+ETB!J41</f>
        <v>8661.24</v>
      </c>
      <c r="C16" s="18"/>
      <c r="D16" s="18"/>
      <c r="E16" s="18"/>
      <c r="F16" s="18"/>
    </row>
    <row r="17" spans="1:6" ht="13.8" x14ac:dyDescent="0.25">
      <c r="A17" s="1" t="s">
        <v>22</v>
      </c>
      <c r="B17" s="18">
        <f>ETB!J42</f>
        <v>0</v>
      </c>
      <c r="C17" s="18"/>
      <c r="D17" s="18"/>
      <c r="E17" s="18"/>
      <c r="F17" s="18"/>
    </row>
    <row r="18" spans="1:6" ht="13.8" x14ac:dyDescent="0.25">
      <c r="A18" s="1" t="s">
        <v>47</v>
      </c>
      <c r="B18" s="18">
        <f>ETB!J38+ETB!J39</f>
        <v>237.5</v>
      </c>
      <c r="C18" s="18"/>
      <c r="D18" s="18"/>
      <c r="E18" s="18"/>
      <c r="F18" s="18"/>
    </row>
    <row r="19" spans="1:6" ht="13.8" x14ac:dyDescent="0.25">
      <c r="A19" s="1" t="s">
        <v>36</v>
      </c>
      <c r="B19" s="18">
        <f>ETB!J30</f>
        <v>0</v>
      </c>
      <c r="C19" s="18"/>
      <c r="D19" s="18"/>
      <c r="E19" s="18"/>
      <c r="F19" s="18"/>
    </row>
    <row r="20" spans="1:6" ht="13.8" x14ac:dyDescent="0.25">
      <c r="A20" s="1" t="s">
        <v>21</v>
      </c>
      <c r="B20" s="18">
        <f>ETB!J31</f>
        <v>0</v>
      </c>
      <c r="C20" s="18"/>
      <c r="D20" s="18"/>
      <c r="E20" s="18"/>
      <c r="F20" s="18"/>
    </row>
    <row r="21" spans="1:6" ht="13.8" x14ac:dyDescent="0.25">
      <c r="A21" s="1" t="s">
        <v>63</v>
      </c>
      <c r="B21" s="18">
        <f>ETB!J29</f>
        <v>8868.2799999999988</v>
      </c>
      <c r="C21" s="18"/>
      <c r="D21" s="18"/>
      <c r="E21" s="18"/>
      <c r="F21" s="18"/>
    </row>
    <row r="22" spans="1:6" ht="13.8" x14ac:dyDescent="0.25">
      <c r="A22" s="1" t="s">
        <v>19</v>
      </c>
      <c r="B22" s="18">
        <f>ETB!J34</f>
        <v>0</v>
      </c>
      <c r="C22" s="18"/>
      <c r="D22" s="18"/>
      <c r="E22" s="18"/>
      <c r="F22" s="18"/>
    </row>
    <row r="23" spans="1:6" ht="13.8" x14ac:dyDescent="0.25">
      <c r="A23" s="1" t="s">
        <v>8</v>
      </c>
      <c r="B23" s="18">
        <f>ETB!J36</f>
        <v>0</v>
      </c>
      <c r="C23" s="18"/>
      <c r="D23" s="18"/>
      <c r="E23" s="18"/>
      <c r="F23" s="18"/>
    </row>
    <row r="24" spans="1:6" ht="13.8" x14ac:dyDescent="0.25">
      <c r="A24" s="1" t="s">
        <v>13</v>
      </c>
      <c r="B24" s="19">
        <f>ETB!J44</f>
        <v>1639</v>
      </c>
      <c r="D24" s="18"/>
      <c r="E24" s="18"/>
      <c r="F24" s="18"/>
    </row>
    <row r="25" spans="1:6" x14ac:dyDescent="0.25">
      <c r="B25" s="18">
        <f>SUM(B16:B24)</f>
        <v>19406.019999999997</v>
      </c>
      <c r="C25" s="18"/>
      <c r="D25" s="18"/>
      <c r="E25" s="18"/>
      <c r="F25" s="18"/>
    </row>
    <row r="26" spans="1:6" x14ac:dyDescent="0.25">
      <c r="B26" s="18"/>
      <c r="C26" s="18"/>
      <c r="D26" s="18"/>
      <c r="E26" s="18"/>
      <c r="F26" s="18"/>
    </row>
    <row r="27" spans="1:6" x14ac:dyDescent="0.25">
      <c r="A27" s="26" t="s">
        <v>82</v>
      </c>
      <c r="B27" s="19">
        <f>ETB!J25</f>
        <v>446307</v>
      </c>
      <c r="C27" s="18"/>
      <c r="D27" s="18"/>
      <c r="E27" s="18"/>
      <c r="F27" s="18"/>
    </row>
    <row r="28" spans="1:6" x14ac:dyDescent="0.25">
      <c r="B28" s="18">
        <f>B27+B25</f>
        <v>465713.02</v>
      </c>
      <c r="C28" s="18">
        <f>B28</f>
        <v>465713.02</v>
      </c>
      <c r="D28" s="18"/>
      <c r="E28" s="18"/>
      <c r="F28" s="18"/>
    </row>
    <row r="29" spans="1:6" x14ac:dyDescent="0.25">
      <c r="B29" s="18"/>
      <c r="C29" s="19"/>
      <c r="D29" s="18"/>
      <c r="E29" s="18"/>
      <c r="F29" s="18"/>
    </row>
    <row r="30" spans="1:6" ht="14.4" thickBot="1" x14ac:dyDescent="0.3">
      <c r="A30" s="2" t="s">
        <v>48</v>
      </c>
      <c r="B30" s="18"/>
      <c r="C30" s="20">
        <f>C11+C13-C28</f>
        <v>198194.14</v>
      </c>
      <c r="D30" s="18"/>
      <c r="E30" s="18"/>
      <c r="F30" s="18"/>
    </row>
    <row r="31" spans="1:6" ht="13.8" thickTop="1" x14ac:dyDescent="0.25">
      <c r="B31" s="18"/>
      <c r="C31" s="18"/>
      <c r="D31" s="18"/>
      <c r="E31" s="18"/>
      <c r="F31" s="18"/>
    </row>
    <row r="32" spans="1:6" x14ac:dyDescent="0.25">
      <c r="B32" s="18"/>
      <c r="C32" s="18"/>
      <c r="D32" s="18"/>
      <c r="E32" s="18"/>
      <c r="F32" s="18"/>
    </row>
    <row r="33" spans="1:6" x14ac:dyDescent="0.25">
      <c r="B33" s="18"/>
      <c r="C33" s="18"/>
      <c r="D33" s="18"/>
      <c r="E33" s="18"/>
      <c r="F33" s="18"/>
    </row>
    <row r="34" spans="1:6" ht="15.6" x14ac:dyDescent="0.3">
      <c r="A34" s="16" t="s">
        <v>75</v>
      </c>
      <c r="B34" s="18"/>
      <c r="C34" s="18"/>
      <c r="D34" s="18"/>
      <c r="E34" s="18"/>
      <c r="F34" s="18"/>
    </row>
    <row r="35" spans="1:6" x14ac:dyDescent="0.25">
      <c r="A35" s="14" t="s">
        <v>62</v>
      </c>
      <c r="B35" s="18"/>
      <c r="C35" s="18"/>
      <c r="D35" s="18"/>
      <c r="E35" s="18"/>
      <c r="F35" s="18"/>
    </row>
    <row r="36" spans="1:6" ht="13.8" x14ac:dyDescent="0.25">
      <c r="A36" s="2" t="s">
        <v>49</v>
      </c>
      <c r="B36" s="18"/>
      <c r="C36" s="18"/>
      <c r="D36" s="18"/>
      <c r="E36" s="18"/>
      <c r="F36" s="18"/>
    </row>
    <row r="37" spans="1:6" ht="13.8" x14ac:dyDescent="0.25">
      <c r="A37" s="2" t="s">
        <v>50</v>
      </c>
      <c r="B37" s="18"/>
      <c r="C37" s="18"/>
      <c r="D37" s="18"/>
      <c r="E37" s="18"/>
      <c r="F37" s="18"/>
    </row>
    <row r="38" spans="1:6" ht="13.8" x14ac:dyDescent="0.25">
      <c r="A38" s="1" t="s">
        <v>51</v>
      </c>
      <c r="B38" s="18"/>
      <c r="C38" s="18"/>
      <c r="D38" s="18"/>
      <c r="E38" s="18"/>
      <c r="F38" s="18"/>
    </row>
    <row r="39" spans="1:6" ht="13.8" x14ac:dyDescent="0.25">
      <c r="A39" s="1" t="s">
        <v>67</v>
      </c>
      <c r="B39" s="18"/>
      <c r="C39" s="18">
        <f>ETB!L7</f>
        <v>605381.6</v>
      </c>
      <c r="E39" s="18"/>
      <c r="F39" s="18"/>
    </row>
    <row r="40" spans="1:6" ht="13.8" x14ac:dyDescent="0.25">
      <c r="A40" s="1" t="s">
        <v>66</v>
      </c>
      <c r="B40" s="18"/>
      <c r="C40" s="19">
        <f>ETB!L9</f>
        <v>771618.4</v>
      </c>
      <c r="D40" s="18">
        <f>C40+C39</f>
        <v>1377000</v>
      </c>
      <c r="E40" s="18"/>
      <c r="F40" s="18"/>
    </row>
    <row r="41" spans="1:6" ht="13.8" x14ac:dyDescent="0.25">
      <c r="A41" s="1"/>
      <c r="B41" s="18"/>
      <c r="C41" s="18"/>
      <c r="D41" s="18"/>
      <c r="E41" s="18"/>
      <c r="F41" s="18"/>
    </row>
    <row r="42" spans="1:6" ht="13.8" x14ac:dyDescent="0.25">
      <c r="A42" s="2" t="s">
        <v>52</v>
      </c>
      <c r="B42" s="18"/>
      <c r="C42" s="18"/>
      <c r="D42" s="18"/>
      <c r="E42" s="18"/>
      <c r="F42" s="18"/>
    </row>
    <row r="43" spans="1:6" ht="13.8" x14ac:dyDescent="0.25">
      <c r="A43" s="1" t="s">
        <v>2</v>
      </c>
      <c r="B43" s="18">
        <f>ETB!L27+ETB!I51</f>
        <v>24711.949999999983</v>
      </c>
      <c r="C43" s="18"/>
      <c r="E43" s="18"/>
      <c r="F43" s="18"/>
    </row>
    <row r="44" spans="1:6" ht="13.8" x14ac:dyDescent="0.25">
      <c r="A44" s="1" t="s">
        <v>77</v>
      </c>
      <c r="B44" s="18">
        <f>ETB!L13</f>
        <v>4736.140000000014</v>
      </c>
      <c r="C44" s="18"/>
      <c r="E44" s="18"/>
      <c r="F44" s="18"/>
    </row>
    <row r="45" spans="1:6" ht="13.8" x14ac:dyDescent="0.25">
      <c r="A45" s="1" t="s">
        <v>53</v>
      </c>
      <c r="B45" s="18">
        <f>ETB!L16</f>
        <v>10068.580000000002</v>
      </c>
      <c r="C45" s="18"/>
      <c r="E45" s="18"/>
      <c r="F45" s="18"/>
    </row>
    <row r="46" spans="1:6" ht="13.8" x14ac:dyDescent="0.25">
      <c r="A46" s="1" t="s">
        <v>54</v>
      </c>
      <c r="B46" s="19">
        <f>ETB!L17+ETB!L18</f>
        <v>135.67000000000087</v>
      </c>
      <c r="C46" s="18"/>
      <c r="E46" s="18"/>
      <c r="F46" s="18"/>
    </row>
    <row r="47" spans="1:6" ht="13.8" x14ac:dyDescent="0.25">
      <c r="A47" s="1"/>
      <c r="B47" s="18"/>
      <c r="C47" s="18">
        <f>SUM(B42:B46)</f>
        <v>39652.339999999997</v>
      </c>
      <c r="E47" s="18"/>
      <c r="F47" s="18"/>
    </row>
    <row r="48" spans="1:6" ht="13.8" x14ac:dyDescent="0.25">
      <c r="A48" s="1"/>
      <c r="B48" s="18"/>
      <c r="C48" s="18"/>
      <c r="E48" s="18"/>
      <c r="F48" s="18"/>
    </row>
    <row r="49" spans="1:6" ht="13.8" x14ac:dyDescent="0.25">
      <c r="A49" s="2" t="s">
        <v>55</v>
      </c>
      <c r="B49" s="18"/>
      <c r="C49" s="18"/>
      <c r="E49" s="18"/>
      <c r="F49" s="18"/>
    </row>
    <row r="50" spans="1:6" ht="13.8" x14ac:dyDescent="0.25">
      <c r="A50" s="1" t="s">
        <v>56</v>
      </c>
      <c r="B50" s="18">
        <f>ETB!H51</f>
        <v>5144.38</v>
      </c>
      <c r="C50" s="18"/>
      <c r="E50" s="18"/>
      <c r="F50" s="18"/>
    </row>
    <row r="51" spans="1:6" ht="13.8" x14ac:dyDescent="0.25">
      <c r="A51" s="1" t="s">
        <v>64</v>
      </c>
      <c r="B51" s="19">
        <f>ETB!M11</f>
        <v>0</v>
      </c>
      <c r="C51" s="18"/>
      <c r="E51" s="18"/>
      <c r="F51" s="18"/>
    </row>
    <row r="52" spans="1:6" ht="13.8" x14ac:dyDescent="0.25">
      <c r="A52" s="1"/>
      <c r="B52" s="18"/>
      <c r="C52" s="18">
        <f>B51+B50</f>
        <v>5144.38</v>
      </c>
      <c r="E52" s="18"/>
      <c r="F52" s="18"/>
    </row>
    <row r="53" spans="1:6" ht="13.8" x14ac:dyDescent="0.25">
      <c r="A53" s="1"/>
      <c r="B53" s="18"/>
      <c r="C53" s="19"/>
      <c r="E53" s="18"/>
      <c r="F53" s="18"/>
    </row>
    <row r="54" spans="1:6" ht="13.8" x14ac:dyDescent="0.25">
      <c r="A54" s="2" t="s">
        <v>57</v>
      </c>
      <c r="B54" s="18"/>
      <c r="C54" s="18"/>
      <c r="D54" s="18">
        <f>C47-C52</f>
        <v>34507.96</v>
      </c>
      <c r="E54" s="18"/>
      <c r="F54" s="18"/>
    </row>
    <row r="55" spans="1:6" ht="13.8" x14ac:dyDescent="0.25">
      <c r="A55" s="1"/>
      <c r="B55" s="18"/>
      <c r="C55" s="18"/>
      <c r="D55" s="18"/>
      <c r="E55" s="18"/>
      <c r="F55" s="18"/>
    </row>
    <row r="56" spans="1:6" ht="14.4" thickBot="1" x14ac:dyDescent="0.3">
      <c r="A56" s="2" t="s">
        <v>61</v>
      </c>
      <c r="B56" s="18"/>
      <c r="C56" s="18"/>
      <c r="D56" s="20">
        <f>D54+D40</f>
        <v>1411507.96</v>
      </c>
      <c r="E56" s="18"/>
      <c r="F56" s="18"/>
    </row>
    <row r="57" spans="1:6" ht="14.4" thickTop="1" x14ac:dyDescent="0.25">
      <c r="A57" s="1"/>
      <c r="B57" s="18"/>
      <c r="C57" s="18"/>
      <c r="D57" s="18"/>
      <c r="E57" s="18"/>
      <c r="F57" s="18"/>
    </row>
    <row r="58" spans="1:6" ht="13.8" x14ac:dyDescent="0.25">
      <c r="A58" s="2" t="s">
        <v>58</v>
      </c>
      <c r="B58" s="18"/>
      <c r="C58" s="18"/>
      <c r="D58" s="18"/>
      <c r="E58" s="18"/>
      <c r="F58" s="18"/>
    </row>
    <row r="59" spans="1:6" ht="13.8" x14ac:dyDescent="0.25">
      <c r="A59" s="1" t="s">
        <v>59</v>
      </c>
      <c r="B59" s="18"/>
      <c r="C59" s="18"/>
      <c r="D59" s="18">
        <f>ETB!M49+ETB!M53</f>
        <v>1411507.96</v>
      </c>
      <c r="E59" s="18"/>
      <c r="F59" s="18"/>
    </row>
    <row r="60" spans="1:6" ht="13.8" x14ac:dyDescent="0.25">
      <c r="A60" s="1"/>
      <c r="B60" s="18"/>
      <c r="C60" s="18"/>
      <c r="D60" s="18"/>
      <c r="E60" s="18"/>
      <c r="F60" s="18"/>
    </row>
    <row r="61" spans="1:6" ht="14.4" thickBot="1" x14ac:dyDescent="0.3">
      <c r="A61" s="2" t="s">
        <v>60</v>
      </c>
      <c r="B61" s="18"/>
      <c r="C61" s="18"/>
      <c r="D61" s="20">
        <f>D59</f>
        <v>1411507.96</v>
      </c>
      <c r="E61" s="18"/>
      <c r="F61" s="18"/>
    </row>
    <row r="62" spans="1:6" ht="13.8" thickTop="1" x14ac:dyDescent="0.25">
      <c r="B62" s="18"/>
      <c r="C62" s="18"/>
      <c r="D62" s="18"/>
      <c r="E62" s="18"/>
      <c r="F62" s="18"/>
    </row>
    <row r="63" spans="1:6" x14ac:dyDescent="0.25">
      <c r="B63" s="18"/>
      <c r="C63" s="18"/>
      <c r="D63" s="18"/>
      <c r="E63" s="18"/>
      <c r="F63" s="18"/>
    </row>
    <row r="64" spans="1:6" x14ac:dyDescent="0.25">
      <c r="B64" s="18"/>
      <c r="C64" s="18"/>
      <c r="D64" s="18"/>
      <c r="E64" s="18">
        <f>D61-D56</f>
        <v>0</v>
      </c>
      <c r="F64" s="18"/>
    </row>
    <row r="65" spans="2:6" x14ac:dyDescent="0.25">
      <c r="B65" s="18"/>
      <c r="C65" s="18"/>
      <c r="D65" s="18"/>
      <c r="E65" s="18"/>
      <c r="F65" s="18"/>
    </row>
    <row r="66" spans="2:6" x14ac:dyDescent="0.25">
      <c r="B66" s="18"/>
      <c r="C66" s="18"/>
      <c r="D66" s="18"/>
      <c r="E66" s="18"/>
      <c r="F66" s="18"/>
    </row>
    <row r="67" spans="2:6" x14ac:dyDescent="0.25">
      <c r="B67" s="18"/>
      <c r="C67" s="18"/>
      <c r="D67" s="18"/>
      <c r="E67" s="18"/>
      <c r="F67" s="18"/>
    </row>
    <row r="68" spans="2:6" x14ac:dyDescent="0.25">
      <c r="B68" s="18"/>
      <c r="C68" s="18"/>
      <c r="D68" s="18"/>
      <c r="E68" s="18"/>
      <c r="F68" s="18"/>
    </row>
    <row r="69" spans="2:6" x14ac:dyDescent="0.25">
      <c r="B69" s="18"/>
      <c r="C69" s="18"/>
      <c r="D69" s="18"/>
      <c r="E69" s="18"/>
      <c r="F69" s="18"/>
    </row>
    <row r="70" spans="2:6" x14ac:dyDescent="0.25">
      <c r="B70" s="18"/>
      <c r="C70" s="18"/>
      <c r="D70" s="18"/>
      <c r="E70" s="18"/>
      <c r="F70" s="18"/>
    </row>
    <row r="71" spans="2:6" x14ac:dyDescent="0.25">
      <c r="B71" s="18"/>
      <c r="C71" s="18"/>
      <c r="D71" s="18"/>
      <c r="E71" s="18"/>
      <c r="F71" s="18"/>
    </row>
    <row r="72" spans="2:6" x14ac:dyDescent="0.25">
      <c r="B72" s="18"/>
      <c r="C72" s="18"/>
      <c r="D72" s="18"/>
      <c r="E72" s="18"/>
      <c r="F72" s="18"/>
    </row>
    <row r="73" spans="2:6" x14ac:dyDescent="0.25">
      <c r="B73" s="18"/>
      <c r="C73" s="18"/>
      <c r="D73" s="18"/>
      <c r="E73" s="18"/>
      <c r="F73" s="18"/>
    </row>
    <row r="74" spans="2:6" x14ac:dyDescent="0.25">
      <c r="B74" s="18"/>
      <c r="C74" s="18"/>
      <c r="D74" s="18"/>
      <c r="E74" s="18"/>
      <c r="F74" s="18"/>
    </row>
    <row r="75" spans="2:6" x14ac:dyDescent="0.25">
      <c r="B75" s="18"/>
      <c r="C75" s="18"/>
      <c r="D75" s="18"/>
      <c r="E75" s="18"/>
      <c r="F75" s="18"/>
    </row>
    <row r="76" spans="2:6" x14ac:dyDescent="0.25">
      <c r="B76" s="18"/>
      <c r="C76" s="18"/>
      <c r="D76" s="18"/>
      <c r="E76" s="18"/>
      <c r="F76" s="18"/>
    </row>
    <row r="77" spans="2:6" x14ac:dyDescent="0.25">
      <c r="B77" s="18"/>
      <c r="C77" s="18"/>
      <c r="D77" s="18"/>
      <c r="E77" s="18"/>
      <c r="F77" s="18"/>
    </row>
    <row r="78" spans="2:6" x14ac:dyDescent="0.25">
      <c r="B78" s="18"/>
      <c r="C78" s="18"/>
      <c r="D78" s="18"/>
      <c r="E78" s="18"/>
      <c r="F78" s="18"/>
    </row>
    <row r="79" spans="2:6" x14ac:dyDescent="0.25">
      <c r="B79" s="18"/>
      <c r="C79" s="18"/>
      <c r="D79" s="18"/>
      <c r="E79" s="18"/>
      <c r="F79" s="18"/>
    </row>
    <row r="80" spans="2:6" x14ac:dyDescent="0.25">
      <c r="B80" s="18"/>
      <c r="C80" s="18"/>
      <c r="D80" s="18"/>
      <c r="E80" s="18"/>
      <c r="F80" s="18"/>
    </row>
    <row r="81" spans="2:6" x14ac:dyDescent="0.25">
      <c r="B81" s="18"/>
      <c r="C81" s="18"/>
      <c r="D81" s="18"/>
      <c r="E81" s="18"/>
      <c r="F81" s="18"/>
    </row>
    <row r="82" spans="2:6" x14ac:dyDescent="0.25">
      <c r="B82" s="18"/>
      <c r="C82" s="18"/>
      <c r="D82" s="18"/>
      <c r="E82" s="18"/>
      <c r="F82" s="18"/>
    </row>
    <row r="83" spans="2:6" x14ac:dyDescent="0.25">
      <c r="B83" s="18"/>
      <c r="C83" s="18"/>
      <c r="D83" s="18"/>
      <c r="E83" s="18"/>
      <c r="F83" s="18"/>
    </row>
    <row r="84" spans="2:6" x14ac:dyDescent="0.25">
      <c r="B84" s="18"/>
      <c r="C84" s="18"/>
      <c r="D84" s="18"/>
      <c r="E84" s="18"/>
      <c r="F84" s="18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VAT Control (3)</vt:lpstr>
      <vt:lpstr>ETB</vt:lpstr>
      <vt:lpstr>Accounts</vt:lpstr>
      <vt:lpstr>Accounts!Print_Area</vt:lpstr>
      <vt:lpstr>ETB!Print_Area</vt:lpstr>
      <vt:lpstr>'VAT Control (3)'!Print_Area</vt:lpstr>
    </vt:vector>
  </TitlesOfParts>
  <Company>Glenny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Peter D Fautley</cp:lastModifiedBy>
  <cp:lastPrinted>2024-09-11T12:22:18Z</cp:lastPrinted>
  <dcterms:created xsi:type="dcterms:W3CDTF">2017-08-13T11:25:41Z</dcterms:created>
  <dcterms:modified xsi:type="dcterms:W3CDTF">2024-10-11T11:19:10Z</dcterms:modified>
</cp:coreProperties>
</file>