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V9xFVn7TPrqLQKKRQauciERcSeA=="/>
    </ext>
  </extLst>
</workbook>
</file>

<file path=xl/sharedStrings.xml><?xml version="1.0" encoding="utf-8"?>
<sst xmlns="http://schemas.openxmlformats.org/spreadsheetml/2006/main" count="168" uniqueCount="43">
  <si>
    <t>MATLOCK FORD - FUND SPLIT UPDATED 01/10/2019</t>
  </si>
  <si>
    <t>JOHN</t>
  </si>
  <si>
    <t>ANDREW</t>
  </si>
  <si>
    <t>JACQUELINE</t>
  </si>
  <si>
    <t>TOTAL FUND VALUATION</t>
  </si>
  <si>
    <t>JOHN TOTAL</t>
  </si>
  <si>
    <t>UNCRYSTALLISED</t>
  </si>
  <si>
    <t>CRYSTALLISED</t>
  </si>
  <si>
    <t>ANDREW TOTAL</t>
  </si>
  <si>
    <t>JACQUELINE TOTAL</t>
  </si>
  <si>
    <t>TOTAL</t>
  </si>
  <si>
    <t>£ -</t>
  </si>
  <si>
    <t>CASH AT BANK</t>
  </si>
  <si>
    <t>OLD MUTUAL</t>
  </si>
  <si>
    <t>Old Mutual split %</t>
  </si>
  <si>
    <t>TFC PAID OUT</t>
  </si>
  <si>
    <t>Fund valuation</t>
  </si>
  <si>
    <t>% Split</t>
  </si>
  <si>
    <t>Cash split value</t>
  </si>
  <si>
    <t>Cash Split %</t>
  </si>
  <si>
    <t>CASH BALANCE</t>
  </si>
  <si>
    <t>OLD MUTUAL INVEST</t>
  </si>
  <si>
    <t>Old Mutual</t>
  </si>
  <si>
    <t>DIGITAL MEDIA SERVICES</t>
  </si>
  <si>
    <t>Cash split correction</t>
  </si>
  <si>
    <t>Cash split %</t>
  </si>
  <si>
    <t>Interest</t>
  </si>
  <si>
    <t>Old Mutual Investment</t>
  </si>
  <si>
    <t>Fees</t>
  </si>
  <si>
    <t>Old Mutual Provisional</t>
  </si>
  <si>
    <t>Old Mutual Actual</t>
  </si>
  <si>
    <t>Digital Media Services Valuation</t>
  </si>
  <si>
    <t>Cash Balance</t>
  </si>
  <si>
    <t>Contributions</t>
  </si>
  <si>
    <t>% split</t>
  </si>
  <si>
    <t>Andrew PCLS - £47,560</t>
  </si>
  <si>
    <t>PCLS</t>
  </si>
  <si>
    <t>Andrew PCLS - £2,440</t>
  </si>
  <si>
    <t>Fees (includes refunds)</t>
  </si>
  <si>
    <t>Made by Nick from below</t>
  </si>
  <si>
    <t>before death benefits</t>
  </si>
  <si>
    <t>Final</t>
  </si>
  <si>
    <t>Death benefits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</si>
</sst>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&quot;£&quot;#,##0.00;[Red]\-&quot;£&quot;#,##0.00"/>
    <numFmt numFmtId="166" formatCode="&quot;£&quot;#,##0.00"/>
  </numFmts>
  <fonts count="11">
    <font>
      <sz val="11.0"/>
      <color theme="1"/>
      <name val="Arial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/>
    <font>
      <b/>
      <sz val="11.0"/>
      <color theme="1"/>
      <name val="Calibri"/>
    </font>
    <font>
      <color theme="1"/>
      <name val="Calibri"/>
    </font>
    <font>
      <sz val="11.0"/>
      <color theme="1"/>
    </font>
    <font>
      <sz val="11.0"/>
      <color rgb="FF000000"/>
    </font>
    <font>
      <sz val="11.0"/>
      <color rgb="FFFF0000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4A86E8"/>
        <bgColor rgb="FF4A86E8"/>
      </patternFill>
    </fill>
  </fills>
  <borders count="16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thick">
        <color rgb="FF000000"/>
      </top>
      <bottom style="medium">
        <color rgb="FFCCCCCC"/>
      </bottom>
    </border>
    <border>
      <right style="medium">
        <color rgb="FFCCCCCC"/>
      </right>
      <top style="thick">
        <color rgb="FF000000"/>
      </top>
      <bottom style="medium">
        <color rgb="FFCCCCCC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medium">
        <color rgb="FFCCCCCC"/>
      </left>
      <top style="medium">
        <color rgb="FFCCCCCC"/>
      </top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thick">
        <color rgb="FF000000"/>
      </right>
      <top style="medium">
        <color rgb="FFCCCCCC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1" fillId="0" fontId="2" numFmtId="0" xfId="0" applyAlignment="1" applyBorder="1" applyFont="1">
      <alignment vertical="center"/>
    </xf>
    <xf borderId="2" fillId="0" fontId="1" numFmtId="0" xfId="0" applyAlignment="1" applyBorder="1" applyFont="1">
      <alignment shrinkToFit="0" wrapText="1"/>
    </xf>
    <xf borderId="3" fillId="0" fontId="3" numFmtId="0" xfId="0" applyAlignment="1" applyBorder="1" applyFont="1">
      <alignment horizontal="center" shrinkToFit="0" wrapText="1"/>
    </xf>
    <xf borderId="4" fillId="0" fontId="4" numFmtId="0" xfId="0" applyBorder="1" applyFont="1"/>
    <xf borderId="5" fillId="0" fontId="4" numFmtId="0" xfId="0" applyBorder="1" applyFont="1"/>
    <xf borderId="1" fillId="0" fontId="3" numFmtId="0" xfId="0" applyAlignment="1" applyBorder="1" applyFont="1">
      <alignment horizontal="center" shrinkToFit="0" wrapText="1"/>
    </xf>
    <xf borderId="3" fillId="0" fontId="2" numFmtId="0" xfId="0" applyAlignment="1" applyBorder="1" applyFont="1">
      <alignment horizontal="center" shrinkToFit="0" wrapText="1"/>
    </xf>
    <xf borderId="6" fillId="0" fontId="2" numFmtId="0" xfId="0" applyAlignment="1" applyBorder="1" applyFont="1">
      <alignment horizontal="center" shrinkToFit="0" wrapText="1"/>
    </xf>
    <xf borderId="7" fillId="0" fontId="4" numFmtId="0" xfId="0" applyBorder="1" applyFont="1"/>
    <xf borderId="8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vertical="center"/>
    </xf>
    <xf borderId="9" fillId="0" fontId="3" numFmtId="0" xfId="0" applyAlignment="1" applyBorder="1" applyFont="1">
      <alignment shrinkToFit="0" wrapText="1"/>
    </xf>
    <xf borderId="9" fillId="0" fontId="1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wrapText="1"/>
    </xf>
    <xf borderId="9" fillId="0" fontId="3" numFmtId="9" xfId="0" applyAlignment="1" applyBorder="1" applyFont="1" applyNumberFormat="1">
      <alignment horizontal="right" shrinkToFit="0" wrapText="1"/>
    </xf>
    <xf borderId="1" fillId="0" fontId="2" numFmtId="9" xfId="0" applyAlignment="1" applyBorder="1" applyFont="1" applyNumberFormat="1">
      <alignment horizontal="right" shrinkToFit="0" wrapText="1"/>
    </xf>
    <xf borderId="9" fillId="0" fontId="2" numFmtId="9" xfId="0" applyAlignment="1" applyBorder="1" applyFont="1" applyNumberFormat="1">
      <alignment horizontal="right" shrinkToFit="0" wrapText="1"/>
    </xf>
    <xf borderId="8" fillId="0" fontId="2" numFmtId="9" xfId="0" applyAlignment="1" applyBorder="1" applyFont="1" applyNumberFormat="1">
      <alignment horizontal="right" shrinkToFit="0" wrapText="1"/>
    </xf>
    <xf borderId="1" fillId="0" fontId="3" numFmtId="164" xfId="0" applyAlignment="1" applyBorder="1" applyFont="1" applyNumberFormat="1">
      <alignment horizontal="right" shrinkToFit="0" wrapText="1"/>
    </xf>
    <xf borderId="1" fillId="0" fontId="3" numFmtId="165" xfId="0" applyAlignment="1" applyBorder="1" applyFont="1" applyNumberFormat="1">
      <alignment horizontal="right" shrinkToFit="0" wrapText="1"/>
    </xf>
    <xf borderId="9" fillId="0" fontId="3" numFmtId="165" xfId="0" applyAlignment="1" applyBorder="1" applyFont="1" applyNumberFormat="1">
      <alignment horizontal="right" shrinkToFit="0" wrapText="1"/>
    </xf>
    <xf borderId="1" fillId="0" fontId="2" numFmtId="165" xfId="0" applyAlignment="1" applyBorder="1" applyFont="1" applyNumberFormat="1">
      <alignment horizontal="right" shrinkToFit="0" wrapText="1"/>
    </xf>
    <xf borderId="9" fillId="0" fontId="2" numFmtId="165" xfId="0" applyAlignment="1" applyBorder="1" applyFont="1" applyNumberFormat="1">
      <alignment horizontal="right" shrinkToFit="0" wrapText="1"/>
    </xf>
    <xf borderId="8" fillId="0" fontId="2" numFmtId="0" xfId="0" applyAlignment="1" applyBorder="1" applyFont="1">
      <alignment horizontal="right" shrinkToFit="0" wrapText="1"/>
    </xf>
    <xf borderId="1" fillId="0" fontId="2" numFmtId="0" xfId="0" applyAlignment="1" applyBorder="1" applyFont="1">
      <alignment horizontal="right" shrinkToFit="0" wrapText="1"/>
    </xf>
    <xf borderId="8" fillId="0" fontId="2" numFmtId="165" xfId="0" applyAlignment="1" applyBorder="1" applyFont="1" applyNumberFormat="1">
      <alignment horizontal="right" shrinkToFit="0" wrapText="1"/>
    </xf>
    <xf borderId="1" fillId="0" fontId="2" numFmtId="10" xfId="0" applyAlignment="1" applyBorder="1" applyFont="1" applyNumberFormat="1">
      <alignment horizontal="right" shrinkToFit="0" wrapText="1"/>
    </xf>
    <xf borderId="9" fillId="0" fontId="3" numFmtId="0" xfId="0" applyAlignment="1" applyBorder="1" applyFont="1">
      <alignment horizontal="right" shrinkToFit="0" wrapText="1"/>
    </xf>
    <xf borderId="1" fillId="0" fontId="1" numFmtId="10" xfId="0" applyAlignment="1" applyBorder="1" applyFont="1" applyNumberFormat="1">
      <alignment shrinkToFit="0" wrapText="1"/>
    </xf>
    <xf borderId="1" fillId="0" fontId="3" numFmtId="10" xfId="0" applyAlignment="1" applyBorder="1" applyFont="1" applyNumberFormat="1">
      <alignment horizontal="right" shrinkToFit="0" wrapText="1"/>
    </xf>
    <xf borderId="9" fillId="0" fontId="3" numFmtId="10" xfId="0" applyAlignment="1" applyBorder="1" applyFont="1" applyNumberFormat="1">
      <alignment horizontal="right" shrinkToFit="0" wrapText="1"/>
    </xf>
    <xf borderId="9" fillId="0" fontId="1" numFmtId="10" xfId="0" applyAlignment="1" applyBorder="1" applyFont="1" applyNumberFormat="1">
      <alignment shrinkToFit="0" wrapText="1"/>
    </xf>
    <xf borderId="8" fillId="0" fontId="1" numFmtId="10" xfId="0" applyAlignment="1" applyBorder="1" applyFont="1" applyNumberFormat="1">
      <alignment shrinkToFit="0" wrapText="1"/>
    </xf>
    <xf borderId="0" fillId="0" fontId="1" numFmtId="10" xfId="0" applyFont="1" applyNumberFormat="1"/>
    <xf borderId="1" fillId="2" fontId="5" numFmtId="0" xfId="0" applyAlignment="1" applyBorder="1" applyFill="1" applyFont="1">
      <alignment shrinkToFit="0" wrapText="1"/>
    </xf>
    <xf borderId="1" fillId="2" fontId="2" numFmtId="165" xfId="0" applyAlignment="1" applyBorder="1" applyFont="1" applyNumberFormat="1">
      <alignment horizontal="right" shrinkToFit="0" wrapText="1"/>
    </xf>
    <xf borderId="9" fillId="2" fontId="2" numFmtId="165" xfId="0" applyAlignment="1" applyBorder="1" applyFont="1" applyNumberFormat="1">
      <alignment horizontal="right" shrinkToFit="0" wrapText="1"/>
    </xf>
    <xf borderId="9" fillId="2" fontId="5" numFmtId="165" xfId="0" applyAlignment="1" applyBorder="1" applyFont="1" applyNumberFormat="1">
      <alignment shrinkToFit="0" wrapText="1"/>
    </xf>
    <xf borderId="8" fillId="2" fontId="5" numFmtId="0" xfId="0" applyAlignment="1" applyBorder="1" applyFont="1">
      <alignment shrinkToFit="0" wrapText="1"/>
    </xf>
    <xf borderId="8" fillId="2" fontId="2" numFmtId="165" xfId="0" applyAlignment="1" applyBorder="1" applyFont="1" applyNumberFormat="1">
      <alignment horizontal="right" shrinkToFit="0" wrapText="1"/>
    </xf>
    <xf borderId="9" fillId="2" fontId="2" numFmtId="10" xfId="0" applyAlignment="1" applyBorder="1" applyFont="1" applyNumberFormat="1">
      <alignment horizontal="right" shrinkToFit="0" wrapText="1"/>
    </xf>
    <xf borderId="1" fillId="2" fontId="2" numFmtId="10" xfId="0" applyAlignment="1" applyBorder="1" applyFont="1" applyNumberFormat="1">
      <alignment horizontal="right" shrinkToFit="0" wrapText="1"/>
    </xf>
    <xf borderId="9" fillId="2" fontId="5" numFmtId="10" xfId="0" applyAlignment="1" applyBorder="1" applyFont="1" applyNumberFormat="1">
      <alignment shrinkToFit="0" wrapText="1"/>
    </xf>
    <xf borderId="8" fillId="2" fontId="2" numFmtId="10" xfId="0" applyAlignment="1" applyBorder="1" applyFont="1" applyNumberFormat="1">
      <alignment horizontal="right" shrinkToFit="0" wrapText="1"/>
    </xf>
    <xf borderId="8" fillId="2" fontId="2" numFmtId="9" xfId="0" applyAlignment="1" applyBorder="1" applyFont="1" applyNumberFormat="1">
      <alignment horizontal="right" shrinkToFit="0" wrapText="1"/>
    </xf>
    <xf borderId="1" fillId="0" fontId="1" numFmtId="165" xfId="0" applyAlignment="1" applyBorder="1" applyFont="1" applyNumberFormat="1">
      <alignment shrinkToFit="0" wrapText="1"/>
    </xf>
    <xf borderId="9" fillId="0" fontId="1" numFmtId="165" xfId="0" applyAlignment="1" applyBorder="1" applyFont="1" applyNumberFormat="1">
      <alignment shrinkToFit="0" wrapText="1"/>
    </xf>
    <xf borderId="8" fillId="0" fontId="2" numFmtId="10" xfId="0" applyAlignment="1" applyBorder="1" applyFont="1" applyNumberFormat="1">
      <alignment horizontal="right" shrinkToFit="0" wrapText="1"/>
    </xf>
    <xf borderId="3" fillId="0" fontId="3" numFmtId="10" xfId="0" applyAlignment="1" applyBorder="1" applyFont="1" applyNumberFormat="1">
      <alignment horizontal="right" shrinkToFit="0" wrapText="1"/>
    </xf>
    <xf borderId="3" fillId="0" fontId="1" numFmtId="10" xfId="0" applyAlignment="1" applyBorder="1" applyFont="1" applyNumberFormat="1">
      <alignment shrinkToFit="0" wrapText="1"/>
    </xf>
    <xf borderId="8" fillId="0" fontId="1" numFmtId="165" xfId="0" applyAlignment="1" applyBorder="1" applyFont="1" applyNumberFormat="1">
      <alignment shrinkToFit="0" wrapText="1"/>
    </xf>
    <xf borderId="1" fillId="0" fontId="3" numFmtId="0" xfId="0" applyAlignment="1" applyBorder="1" applyFont="1">
      <alignment horizontal="right" shrinkToFit="0" wrapText="1"/>
    </xf>
    <xf borderId="1" fillId="0" fontId="3" numFmtId="166" xfId="0" applyAlignment="1" applyBorder="1" applyFont="1" applyNumberFormat="1">
      <alignment horizontal="right" shrinkToFit="0" wrapText="1"/>
    </xf>
    <xf borderId="1" fillId="2" fontId="5" numFmtId="10" xfId="0" applyAlignment="1" applyBorder="1" applyFont="1" applyNumberFormat="1">
      <alignment shrinkToFit="0" wrapText="1"/>
    </xf>
    <xf borderId="8" fillId="2" fontId="5" numFmtId="10" xfId="0" applyAlignment="1" applyBorder="1" applyFont="1" applyNumberFormat="1">
      <alignment shrinkToFit="0" wrapText="1"/>
    </xf>
    <xf borderId="8" fillId="2" fontId="5" numFmtId="165" xfId="0" applyAlignment="1" applyBorder="1" applyFont="1" applyNumberFormat="1">
      <alignment shrinkToFit="0" wrapText="1"/>
    </xf>
    <xf borderId="10" fillId="0" fontId="3" numFmtId="165" xfId="0" applyAlignment="1" applyBorder="1" applyFont="1" applyNumberFormat="1">
      <alignment horizontal="right" shrinkToFit="0" wrapText="1"/>
    </xf>
    <xf borderId="11" fillId="0" fontId="2" numFmtId="165" xfId="0" applyAlignment="1" applyBorder="1" applyFont="1" applyNumberFormat="1">
      <alignment horizontal="right" shrinkToFit="0" wrapText="1"/>
    </xf>
    <xf borderId="3" fillId="0" fontId="1" numFmtId="165" xfId="0" applyAlignment="1" applyBorder="1" applyFont="1" applyNumberFormat="1">
      <alignment shrinkToFit="0" wrapText="1"/>
    </xf>
    <xf borderId="12" fillId="0" fontId="3" numFmtId="165" xfId="0" applyAlignment="1" applyBorder="1" applyFont="1" applyNumberFormat="1">
      <alignment horizontal="right" shrinkToFit="0" wrapText="1"/>
    </xf>
    <xf borderId="13" fillId="0" fontId="1" numFmtId="0" xfId="0" applyAlignment="1" applyBorder="1" applyFont="1">
      <alignment shrinkToFit="0" wrapText="1"/>
    </xf>
    <xf borderId="14" fillId="0" fontId="2" numFmtId="165" xfId="0" applyAlignment="1" applyBorder="1" applyFont="1" applyNumberFormat="1">
      <alignment horizontal="right" shrinkToFit="0" wrapText="1"/>
    </xf>
    <xf borderId="1" fillId="0" fontId="1" numFmtId="10" xfId="0" applyAlignment="1" applyBorder="1" applyFont="1" applyNumberFormat="1">
      <alignment vertical="center"/>
    </xf>
    <xf borderId="12" fillId="0" fontId="3" numFmtId="10" xfId="0" applyAlignment="1" applyBorder="1" applyFont="1" applyNumberFormat="1">
      <alignment horizontal="right" shrinkToFit="0" wrapText="1"/>
    </xf>
    <xf borderId="13" fillId="0" fontId="1" numFmtId="10" xfId="0" applyAlignment="1" applyBorder="1" applyFont="1" applyNumberFormat="1">
      <alignment shrinkToFit="0" wrapText="1"/>
    </xf>
    <xf borderId="14" fillId="0" fontId="2" numFmtId="10" xfId="0" applyAlignment="1" applyBorder="1" applyFont="1" applyNumberFormat="1">
      <alignment horizontal="right" shrinkToFit="0" wrapText="1"/>
    </xf>
    <xf borderId="1" fillId="3" fontId="1" numFmtId="164" xfId="0" applyAlignment="1" applyBorder="1" applyFill="1" applyFont="1" applyNumberFormat="1">
      <alignment shrinkToFit="0" wrapText="1"/>
    </xf>
    <xf borderId="1" fillId="0" fontId="1" numFmtId="166" xfId="0" applyAlignment="1" applyBorder="1" applyFont="1" applyNumberFormat="1">
      <alignment shrinkToFit="0" wrapText="1"/>
    </xf>
    <xf borderId="9" fillId="0" fontId="1" numFmtId="166" xfId="0" applyAlignment="1" applyBorder="1" applyFont="1" applyNumberFormat="1">
      <alignment shrinkToFit="0" wrapText="1"/>
    </xf>
    <xf borderId="0" fillId="0" fontId="1" numFmtId="166" xfId="0" applyFont="1" applyNumberFormat="1"/>
    <xf borderId="1" fillId="2" fontId="5" numFmtId="0" xfId="0" applyAlignment="1" applyBorder="1" applyFont="1">
      <alignment vertical="center"/>
    </xf>
    <xf borderId="9" fillId="2" fontId="2" numFmtId="166" xfId="0" applyAlignment="1" applyBorder="1" applyFont="1" applyNumberFormat="1">
      <alignment horizontal="right" shrinkToFit="0" wrapText="1"/>
    </xf>
    <xf borderId="1" fillId="2" fontId="5" numFmtId="166" xfId="0" applyAlignment="1" applyBorder="1" applyFont="1" applyNumberFormat="1">
      <alignment shrinkToFit="0" wrapText="1"/>
    </xf>
    <xf borderId="9" fillId="2" fontId="5" numFmtId="166" xfId="0" applyAlignment="1" applyBorder="1" applyFont="1" applyNumberFormat="1">
      <alignment shrinkToFit="0" wrapText="1"/>
    </xf>
    <xf borderId="9" fillId="2" fontId="5" numFmtId="0" xfId="0" applyAlignment="1" applyBorder="1" applyFont="1">
      <alignment shrinkToFit="0" wrapText="1"/>
    </xf>
    <xf borderId="9" fillId="2" fontId="2" numFmtId="0" xfId="0" applyAlignment="1" applyBorder="1" applyFont="1">
      <alignment horizontal="right" shrinkToFit="0" wrapText="1"/>
    </xf>
    <xf borderId="1" fillId="2" fontId="2" numFmtId="10" xfId="0" applyAlignment="1" applyBorder="1" applyFont="1" applyNumberFormat="1">
      <alignment shrinkToFit="0" wrapText="1"/>
    </xf>
    <xf borderId="9" fillId="0" fontId="2" numFmtId="10" xfId="0" applyAlignment="1" applyBorder="1" applyFont="1" applyNumberFormat="1">
      <alignment horizontal="right" shrinkToFit="0" wrapText="1"/>
    </xf>
    <xf borderId="1" fillId="0" fontId="1" numFmtId="40" xfId="0" applyAlignment="1" applyBorder="1" applyFont="1" applyNumberFormat="1">
      <alignment shrinkToFit="0" wrapText="1"/>
    </xf>
    <xf borderId="3" fillId="0" fontId="3" numFmtId="165" xfId="0" applyAlignment="1" applyBorder="1" applyFont="1" applyNumberFormat="1">
      <alignment horizontal="right" shrinkToFit="0" wrapText="1"/>
    </xf>
    <xf borderId="3" fillId="0" fontId="2" numFmtId="165" xfId="0" applyAlignment="1" applyBorder="1" applyFont="1" applyNumberFormat="1">
      <alignment horizontal="right" shrinkToFit="0" wrapText="1"/>
    </xf>
    <xf borderId="0" fillId="0" fontId="1" numFmtId="40" xfId="0" applyFont="1" applyNumberFormat="1"/>
    <xf borderId="15" fillId="4" fontId="1" numFmtId="164" xfId="0" applyBorder="1" applyFill="1" applyFont="1" applyNumberFormat="1"/>
    <xf borderId="0" fillId="0" fontId="6" numFmtId="0" xfId="0" applyFont="1"/>
    <xf borderId="15" fillId="2" fontId="1" numFmtId="0" xfId="0" applyBorder="1" applyFont="1"/>
    <xf borderId="15" fillId="2" fontId="1" numFmtId="166" xfId="0" applyBorder="1" applyFont="1" applyNumberFormat="1"/>
    <xf borderId="15" fillId="2" fontId="1" numFmtId="10" xfId="0" applyBorder="1" applyFont="1" applyNumberFormat="1"/>
    <xf borderId="0" fillId="0" fontId="1" numFmtId="165" xfId="0" applyFont="1" applyNumberFormat="1"/>
    <xf borderId="15" fillId="4" fontId="1" numFmtId="0" xfId="0" applyBorder="1" applyFont="1"/>
    <xf borderId="0" fillId="5" fontId="4" numFmtId="0" xfId="0" applyAlignment="1" applyFill="1" applyFont="1">
      <alignment readingOrder="0"/>
    </xf>
    <xf borderId="0" fillId="5" fontId="6" numFmtId="0" xfId="0" applyFont="1"/>
    <xf borderId="15" fillId="4" fontId="7" numFmtId="164" xfId="0" applyAlignment="1" applyBorder="1" applyFont="1" applyNumberFormat="1">
      <alignment readingOrder="0"/>
    </xf>
    <xf borderId="0" fillId="0" fontId="7" numFmtId="166" xfId="0" applyFont="1" applyNumberFormat="1"/>
    <xf borderId="0" fillId="0" fontId="7" numFmtId="165" xfId="0" applyFont="1" applyNumberFormat="1"/>
    <xf borderId="0" fillId="0" fontId="8" numFmtId="166" xfId="0" applyAlignment="1" applyFont="1" applyNumberFormat="1">
      <alignment readingOrder="0"/>
    </xf>
    <xf borderId="0" fillId="0" fontId="9" numFmtId="166" xfId="0" applyFont="1" applyNumberFormat="1"/>
    <xf borderId="0" fillId="0" fontId="8" numFmtId="166" xfId="0" applyFont="1" applyNumberFormat="1"/>
    <xf borderId="0" fillId="0" fontId="7" numFmtId="165" xfId="0" applyAlignment="1" applyFont="1" applyNumberFormat="1">
      <alignment readingOrder="0"/>
    </xf>
    <xf borderId="0" fillId="0" fontId="6" numFmtId="0" xfId="0" applyAlignment="1" applyFont="1">
      <alignment readingOrder="0"/>
    </xf>
    <xf borderId="15" fillId="4" fontId="1" numFmtId="164" xfId="0" applyAlignment="1" applyBorder="1" applyFont="1" applyNumberFormat="1">
      <alignment readingOrder="0"/>
    </xf>
    <xf borderId="15" fillId="4" fontId="7" numFmtId="0" xfId="0" applyAlignment="1" applyBorder="1" applyFont="1">
      <alignment readingOrder="0"/>
    </xf>
    <xf borderId="0" fillId="0" fontId="9" numFmtId="166" xfId="0" applyAlignment="1" applyFont="1" applyNumberFormat="1">
      <alignment readingOrder="0"/>
    </xf>
    <xf borderId="0" fillId="0" fontId="10" numFmtId="166" xfId="0" applyFont="1" applyNumberFormat="1"/>
    <xf borderId="0" fillId="0" fontId="1" numFmtId="165" xfId="0" applyAlignment="1" applyFont="1" applyNumberFormat="1">
      <alignment readingOrder="0"/>
    </xf>
    <xf borderId="0" fillId="0" fontId="7" numFmtId="10" xfId="0" applyFont="1" applyNumberFormat="1"/>
    <xf borderId="0" fillId="0" fontId="7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8.25"/>
    <col customWidth="1" min="2" max="2" width="27.13"/>
    <col customWidth="1" min="3" max="3" width="2.25"/>
    <col customWidth="1" min="4" max="4" width="16.0"/>
    <col customWidth="1" min="5" max="5" width="15.75"/>
    <col customWidth="1" min="6" max="6" width="16.13"/>
    <col customWidth="1" min="7" max="7" width="15.75"/>
    <col customWidth="1" min="8" max="8" width="15.63"/>
    <col customWidth="1" min="9" max="9" width="15.75"/>
    <col customWidth="1" min="10" max="10" width="16.75"/>
    <col customWidth="1" min="11" max="12" width="15.63"/>
    <col customWidth="1" min="13" max="13" width="16.0"/>
    <col customWidth="1" min="14" max="14" width="15.88"/>
    <col customWidth="1" min="15" max="26" width="7.63"/>
  </cols>
  <sheetData>
    <row r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</row>
    <row r="2">
      <c r="A2" s="1"/>
      <c r="B2" s="1"/>
      <c r="C2" s="1"/>
      <c r="D2" s="1"/>
      <c r="E2" s="4" t="s">
        <v>1</v>
      </c>
      <c r="F2" s="5"/>
      <c r="G2" s="6"/>
      <c r="H2" s="7"/>
      <c r="I2" s="8" t="s">
        <v>2</v>
      </c>
      <c r="J2" s="6"/>
      <c r="K2" s="1"/>
      <c r="L2" s="9" t="s">
        <v>3</v>
      </c>
      <c r="M2" s="10"/>
      <c r="N2" s="11"/>
    </row>
    <row r="3">
      <c r="A3" s="1"/>
      <c r="B3" s="12" t="s">
        <v>4</v>
      </c>
      <c r="C3" s="1"/>
      <c r="D3" s="1"/>
      <c r="E3" s="13" t="s">
        <v>5</v>
      </c>
      <c r="F3" s="1" t="s">
        <v>6</v>
      </c>
      <c r="G3" s="14" t="s">
        <v>7</v>
      </c>
      <c r="H3" s="13" t="s">
        <v>8</v>
      </c>
      <c r="I3" s="1" t="s">
        <v>6</v>
      </c>
      <c r="J3" s="11" t="s">
        <v>7</v>
      </c>
      <c r="K3" s="13" t="s">
        <v>9</v>
      </c>
      <c r="L3" s="1" t="s">
        <v>6</v>
      </c>
      <c r="M3" s="1" t="s">
        <v>7</v>
      </c>
      <c r="N3" s="15" t="s">
        <v>10</v>
      </c>
    </row>
    <row r="4">
      <c r="A4" s="1"/>
      <c r="B4" s="1"/>
      <c r="C4" s="1"/>
      <c r="D4" s="1"/>
      <c r="E4" s="16">
        <v>0.39</v>
      </c>
      <c r="F4" s="17">
        <v>0.04</v>
      </c>
      <c r="G4" s="18">
        <v>0.35</v>
      </c>
      <c r="H4" s="14"/>
      <c r="I4" s="17">
        <v>0.4</v>
      </c>
      <c r="J4" s="19">
        <v>0.0</v>
      </c>
      <c r="K4" s="16">
        <v>0.21</v>
      </c>
      <c r="L4" s="1"/>
      <c r="M4" s="17">
        <v>0.0</v>
      </c>
      <c r="N4" s="19">
        <v>1.0</v>
      </c>
    </row>
    <row r="5">
      <c r="A5" s="20">
        <v>42299.0</v>
      </c>
      <c r="B5" s="1"/>
      <c r="C5" s="1"/>
      <c r="D5" s="21">
        <v>688063.37</v>
      </c>
      <c r="E5" s="22">
        <v>270029.31</v>
      </c>
      <c r="F5" s="23">
        <v>30029.31</v>
      </c>
      <c r="G5" s="24">
        <v>240000.0</v>
      </c>
      <c r="H5" s="22">
        <v>275709.05</v>
      </c>
      <c r="I5" s="23">
        <v>275709.05</v>
      </c>
      <c r="J5" s="25" t="s">
        <v>11</v>
      </c>
      <c r="K5" s="22">
        <v>142325.01</v>
      </c>
      <c r="L5" s="23">
        <v>142325.01</v>
      </c>
      <c r="M5" s="26" t="s">
        <v>11</v>
      </c>
      <c r="N5" s="27">
        <v>688063.37</v>
      </c>
    </row>
    <row r="6">
      <c r="A6" s="1"/>
      <c r="B6" s="1" t="s">
        <v>12</v>
      </c>
      <c r="C6" s="1"/>
      <c r="D6" s="21">
        <v>232403.1</v>
      </c>
      <c r="E6" s="22">
        <v>72500.58</v>
      </c>
      <c r="F6" s="1"/>
      <c r="G6" s="14"/>
      <c r="H6" s="22">
        <v>17577.51</v>
      </c>
      <c r="I6" s="1"/>
      <c r="J6" s="11"/>
      <c r="K6" s="22">
        <v>142325.01</v>
      </c>
      <c r="L6" s="1"/>
      <c r="M6" s="1"/>
      <c r="N6" s="11"/>
    </row>
    <row r="7">
      <c r="A7" s="1"/>
      <c r="B7" s="1" t="s">
        <v>13</v>
      </c>
      <c r="C7" s="1"/>
      <c r="D7" s="21">
        <v>455660.27</v>
      </c>
      <c r="E7" s="22">
        <v>197528.73</v>
      </c>
      <c r="F7" s="1"/>
      <c r="G7" s="14"/>
      <c r="H7" s="22">
        <v>258131.54</v>
      </c>
      <c r="I7" s="28">
        <v>0.5665</v>
      </c>
      <c r="J7" s="11"/>
      <c r="K7" s="29" t="s">
        <v>11</v>
      </c>
      <c r="L7" s="1"/>
      <c r="M7" s="1"/>
      <c r="N7" s="11"/>
    </row>
    <row r="8">
      <c r="A8" s="30"/>
      <c r="B8" s="30" t="s">
        <v>14</v>
      </c>
      <c r="C8" s="30"/>
      <c r="D8" s="31"/>
      <c r="E8" s="32">
        <f>E7/D7</f>
        <v>0.4335000065</v>
      </c>
      <c r="F8" s="30"/>
      <c r="G8" s="33"/>
      <c r="H8" s="32">
        <f>H7/D7</f>
        <v>0.5664999935</v>
      </c>
      <c r="I8" s="28"/>
      <c r="J8" s="34"/>
      <c r="K8" s="32"/>
      <c r="L8" s="30"/>
      <c r="M8" s="30"/>
      <c r="N8" s="34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>
      <c r="A9" s="1"/>
      <c r="B9" s="1" t="s">
        <v>15</v>
      </c>
      <c r="C9" s="1"/>
      <c r="D9" s="1"/>
      <c r="E9" s="22">
        <v>-60000.0</v>
      </c>
      <c r="F9" s="1"/>
      <c r="G9" s="24">
        <v>-60000.0</v>
      </c>
      <c r="H9" s="29" t="s">
        <v>11</v>
      </c>
      <c r="I9" s="1"/>
      <c r="J9" s="11"/>
      <c r="K9" s="14"/>
      <c r="L9" s="1"/>
      <c r="M9" s="1"/>
      <c r="N9" s="11"/>
    </row>
    <row r="10">
      <c r="A10" s="1"/>
      <c r="B10" s="1"/>
      <c r="C10" s="1"/>
      <c r="D10" s="1"/>
      <c r="E10" s="14"/>
      <c r="F10" s="1"/>
      <c r="G10" s="14"/>
      <c r="H10" s="14"/>
      <c r="I10" s="1"/>
      <c r="J10" s="11"/>
      <c r="K10" s="14"/>
      <c r="L10" s="1"/>
      <c r="M10" s="1"/>
      <c r="N10" s="11"/>
    </row>
    <row r="11">
      <c r="A11" s="36"/>
      <c r="B11" s="36" t="s">
        <v>16</v>
      </c>
      <c r="C11" s="36"/>
      <c r="D11" s="37">
        <f>D5+E9</f>
        <v>628063.37</v>
      </c>
      <c r="E11" s="38">
        <f>E5+E9</f>
        <v>210029.31</v>
      </c>
      <c r="F11" s="37">
        <v>30029.31</v>
      </c>
      <c r="G11" s="38">
        <v>180000.0</v>
      </c>
      <c r="H11" s="39">
        <f>H5</f>
        <v>275709.05</v>
      </c>
      <c r="I11" s="37">
        <f>H11</f>
        <v>275709.05</v>
      </c>
      <c r="J11" s="40"/>
      <c r="K11" s="39">
        <f>L5</f>
        <v>142325.01</v>
      </c>
      <c r="L11" s="37">
        <f>K11</f>
        <v>142325.01</v>
      </c>
      <c r="M11" s="36"/>
      <c r="N11" s="41">
        <f>F11+G11+H11+K11</f>
        <v>628063.37</v>
      </c>
    </row>
    <row r="12">
      <c r="A12" s="36"/>
      <c r="B12" s="36" t="s">
        <v>17</v>
      </c>
      <c r="C12" s="36"/>
      <c r="D12" s="36"/>
      <c r="E12" s="42">
        <v>0.3344</v>
      </c>
      <c r="F12" s="43">
        <f>F11/E11</f>
        <v>0.1429767588</v>
      </c>
      <c r="G12" s="42">
        <f>G11/E11</f>
        <v>0.8570232412</v>
      </c>
      <c r="H12" s="44">
        <f>H11/D11</f>
        <v>0.438982853</v>
      </c>
      <c r="I12" s="43">
        <f>I11/H11</f>
        <v>1</v>
      </c>
      <c r="J12" s="45"/>
      <c r="K12" s="44">
        <f>K11/D11</f>
        <v>0.2266093149</v>
      </c>
      <c r="L12" s="43">
        <f>L11/K11</f>
        <v>1</v>
      </c>
      <c r="M12" s="43"/>
      <c r="N12" s="46">
        <f>E12+H12+K12</f>
        <v>0.9999921679</v>
      </c>
    </row>
    <row r="13">
      <c r="A13" s="1"/>
      <c r="B13" s="1" t="s">
        <v>18</v>
      </c>
      <c r="C13" s="1"/>
      <c r="D13" s="21">
        <f>D6+E9</f>
        <v>172403.1</v>
      </c>
      <c r="E13" s="22">
        <f>E6+E9</f>
        <v>12500.58</v>
      </c>
      <c r="F13" s="47">
        <f>E13*F12</f>
        <v>1787.292412</v>
      </c>
      <c r="G13" s="48">
        <f>E13*G12</f>
        <v>10713.28759</v>
      </c>
      <c r="H13" s="22">
        <f>H6</f>
        <v>17577.51</v>
      </c>
      <c r="I13" s="1"/>
      <c r="J13" s="11"/>
      <c r="K13" s="22">
        <f>K6</f>
        <v>142325.01</v>
      </c>
      <c r="L13" s="1"/>
      <c r="M13" s="1"/>
      <c r="N13" s="27">
        <f>F13+G13+H13+K13</f>
        <v>172403.1</v>
      </c>
    </row>
    <row r="14">
      <c r="A14" s="30"/>
      <c r="B14" s="30" t="s">
        <v>19</v>
      </c>
      <c r="C14" s="30"/>
      <c r="D14" s="30"/>
      <c r="E14" s="32">
        <f t="shared" ref="E14:F14" si="1">E13/D13</f>
        <v>0.07250786094</v>
      </c>
      <c r="F14" s="30">
        <f t="shared" si="1"/>
        <v>0.1429767588</v>
      </c>
      <c r="G14" s="33">
        <f>G13/E13</f>
        <v>0.8570232412</v>
      </c>
      <c r="H14" s="32">
        <f>H13/D13</f>
        <v>0.1019558813</v>
      </c>
      <c r="I14" s="30"/>
      <c r="J14" s="34"/>
      <c r="K14" s="32">
        <f>K13/D13</f>
        <v>0.8255362578</v>
      </c>
      <c r="L14" s="30"/>
      <c r="M14" s="30"/>
      <c r="N14" s="49">
        <f>E14+H14+K14</f>
        <v>1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>
      <c r="A15" s="30"/>
      <c r="B15" s="30"/>
      <c r="C15" s="30"/>
      <c r="D15" s="30"/>
      <c r="E15" s="50"/>
      <c r="F15" s="30"/>
      <c r="G15" s="51"/>
      <c r="H15" s="50"/>
      <c r="I15" s="30"/>
      <c r="J15" s="34"/>
      <c r="K15" s="50"/>
      <c r="L15" s="30"/>
      <c r="M15" s="30"/>
      <c r="N15" s="49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>
      <c r="A16" s="20">
        <v>42339.0</v>
      </c>
      <c r="B16" s="1" t="s">
        <v>20</v>
      </c>
      <c r="C16" s="1"/>
      <c r="D16" s="21">
        <v>172475.51</v>
      </c>
      <c r="E16" s="21">
        <f t="shared" ref="E16:F16" si="2">D16*E14</f>
        <v>12505.83029</v>
      </c>
      <c r="F16" s="47">
        <f t="shared" si="2"/>
        <v>1788.043082</v>
      </c>
      <c r="G16" s="47">
        <f>E16*G14</f>
        <v>10717.78721</v>
      </c>
      <c r="H16" s="21">
        <f>D16*H14</f>
        <v>17584.89263</v>
      </c>
      <c r="I16" s="1"/>
      <c r="J16" s="11"/>
      <c r="K16" s="21">
        <f>D16*K14</f>
        <v>142384.7871</v>
      </c>
      <c r="L16" s="1"/>
      <c r="M16" s="1"/>
      <c r="N16" s="52">
        <f>F16+G16+H16+K16</f>
        <v>172475.51</v>
      </c>
    </row>
    <row r="17">
      <c r="A17" s="20">
        <v>42348.0</v>
      </c>
      <c r="B17" s="12" t="s">
        <v>21</v>
      </c>
      <c r="C17" s="1"/>
      <c r="D17" s="21">
        <v>-7500.0</v>
      </c>
      <c r="E17" s="22">
        <v>-3750.0</v>
      </c>
      <c r="F17" s="1"/>
      <c r="G17" s="14"/>
      <c r="H17" s="22">
        <v>-3750.0</v>
      </c>
      <c r="I17" s="1"/>
      <c r="J17" s="11"/>
      <c r="K17" s="53" t="s">
        <v>11</v>
      </c>
      <c r="L17" s="1"/>
      <c r="M17" s="1"/>
      <c r="N17" s="11"/>
    </row>
    <row r="18">
      <c r="A18" s="1"/>
      <c r="B18" s="1" t="s">
        <v>22</v>
      </c>
      <c r="C18" s="1"/>
      <c r="D18" s="47">
        <f t="shared" ref="D18:E18" si="3">D7-D17</f>
        <v>463160.27</v>
      </c>
      <c r="E18" s="48">
        <f t="shared" si="3"/>
        <v>201278.73</v>
      </c>
      <c r="F18" s="47">
        <f>E18*F12</f>
        <v>28778.18043</v>
      </c>
      <c r="G18" s="48">
        <f>E18*G12</f>
        <v>172500.5496</v>
      </c>
      <c r="H18" s="48">
        <f>H7-H17</f>
        <v>261881.54</v>
      </c>
      <c r="I18" s="47">
        <f>H18</f>
        <v>261881.54</v>
      </c>
      <c r="J18" s="11"/>
      <c r="K18" s="1"/>
      <c r="L18" s="1"/>
      <c r="M18" s="1"/>
      <c r="N18" s="52">
        <f>F18+G18+H18</f>
        <v>463160.27</v>
      </c>
    </row>
    <row r="19">
      <c r="A19" s="30"/>
      <c r="B19" s="30" t="s">
        <v>14</v>
      </c>
      <c r="C19" s="30"/>
      <c r="D19" s="30"/>
      <c r="E19" s="33">
        <f t="shared" ref="E19:F19" si="4">E18/D18</f>
        <v>0.4345768474</v>
      </c>
      <c r="F19" s="30">
        <f t="shared" si="4"/>
        <v>0.1429767588</v>
      </c>
      <c r="G19" s="33">
        <f>G18/E18</f>
        <v>0.8570232412</v>
      </c>
      <c r="H19" s="33">
        <f>H18/D18</f>
        <v>0.5654231526</v>
      </c>
      <c r="I19" s="30">
        <f>I18/H18</f>
        <v>1</v>
      </c>
      <c r="J19" s="34"/>
      <c r="K19" s="30"/>
      <c r="L19" s="30"/>
      <c r="M19" s="30"/>
      <c r="N19" s="34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>
      <c r="A20" s="1"/>
      <c r="B20" s="1" t="s">
        <v>20</v>
      </c>
      <c r="C20" s="1"/>
      <c r="D20" s="21">
        <v>164975.51</v>
      </c>
      <c r="E20" s="22">
        <f>E16+E17</f>
        <v>8755.830294</v>
      </c>
      <c r="F20" s="54">
        <f>E20*F14</f>
        <v>1251.880236</v>
      </c>
      <c r="G20" s="48">
        <f>E20*G14</f>
        <v>7503.950058</v>
      </c>
      <c r="H20" s="22">
        <f>H16+H17</f>
        <v>13834.89263</v>
      </c>
      <c r="I20" s="28"/>
      <c r="J20" s="11"/>
      <c r="K20" s="21">
        <f>K16</f>
        <v>142384.7871</v>
      </c>
      <c r="L20" s="28"/>
      <c r="M20" s="1"/>
      <c r="N20" s="11"/>
    </row>
    <row r="21" ht="15.75" customHeight="1">
      <c r="A21" s="30"/>
      <c r="B21" s="30" t="s">
        <v>19</v>
      </c>
      <c r="C21" s="30"/>
      <c r="D21" s="31"/>
      <c r="E21" s="32">
        <f t="shared" ref="E21:F21" si="5">E20/D20</f>
        <v>0.05307351554</v>
      </c>
      <c r="F21" s="28">
        <f t="shared" si="5"/>
        <v>0.1429767588</v>
      </c>
      <c r="G21" s="33">
        <f>G20/E20</f>
        <v>0.8570232412</v>
      </c>
      <c r="H21" s="32">
        <f>H20/D20</f>
        <v>0.08386028099</v>
      </c>
      <c r="I21" s="28"/>
      <c r="J21" s="34"/>
      <c r="K21" s="31">
        <f>K20/D20</f>
        <v>0.8630662035</v>
      </c>
      <c r="L21" s="28"/>
      <c r="M21" s="30"/>
      <c r="N21" s="34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5.75" customHeight="1">
      <c r="A22" s="55"/>
      <c r="B22" s="55" t="s">
        <v>16</v>
      </c>
      <c r="C22" s="55"/>
      <c r="D22" s="37">
        <f t="shared" ref="D22:H22" si="6">D18+D20</f>
        <v>628135.78</v>
      </c>
      <c r="E22" s="38">
        <f t="shared" si="6"/>
        <v>210034.5603</v>
      </c>
      <c r="F22" s="37">
        <f t="shared" si="6"/>
        <v>30030.06067</v>
      </c>
      <c r="G22" s="39">
        <f t="shared" si="6"/>
        <v>180004.4996</v>
      </c>
      <c r="H22" s="38">
        <f t="shared" si="6"/>
        <v>275716.4326</v>
      </c>
      <c r="I22" s="37">
        <f>H22</f>
        <v>275716.4326</v>
      </c>
      <c r="J22" s="56"/>
      <c r="K22" s="37">
        <f>K20</f>
        <v>142384.7871</v>
      </c>
      <c r="L22" s="37">
        <f>K22</f>
        <v>142384.7871</v>
      </c>
      <c r="M22" s="55"/>
      <c r="N22" s="57">
        <f>F22+G22+H22+K22</f>
        <v>628135.78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5.75" customHeight="1">
      <c r="A23" s="55"/>
      <c r="B23" s="55" t="s">
        <v>17</v>
      </c>
      <c r="C23" s="55"/>
      <c r="D23" s="43"/>
      <c r="E23" s="42">
        <f t="shared" ref="E23:F23" si="7">E22/D22</f>
        <v>0.3343776409</v>
      </c>
      <c r="F23" s="43">
        <f t="shared" si="7"/>
        <v>0.1429767588</v>
      </c>
      <c r="G23" s="44">
        <f>G22/E22</f>
        <v>0.8570232412</v>
      </c>
      <c r="H23" s="42">
        <f>H22/D22</f>
        <v>0.4389440013</v>
      </c>
      <c r="I23" s="43">
        <f>I22/H22</f>
        <v>1</v>
      </c>
      <c r="J23" s="56"/>
      <c r="K23" s="43">
        <f>K22/D22</f>
        <v>0.2266783578</v>
      </c>
      <c r="L23" s="43">
        <f>L22/K22</f>
        <v>1</v>
      </c>
      <c r="M23" s="55"/>
      <c r="N23" s="56">
        <f>E23+H23+K23</f>
        <v>1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5.75" customHeight="1">
      <c r="A24" s="20">
        <v>42359.0</v>
      </c>
      <c r="B24" s="12" t="s">
        <v>23</v>
      </c>
      <c r="C24" s="1"/>
      <c r="D24" s="21">
        <v>-144000.0</v>
      </c>
      <c r="E24" s="1"/>
      <c r="F24" s="1"/>
      <c r="G24" s="14"/>
      <c r="H24" s="14"/>
      <c r="I24" s="1"/>
      <c r="J24" s="11"/>
      <c r="K24" s="58">
        <v>144000.0</v>
      </c>
      <c r="L24" s="3"/>
      <c r="M24" s="3"/>
      <c r="N24" s="59">
        <v>144000.0</v>
      </c>
    </row>
    <row r="25" ht="15.75" customHeight="1">
      <c r="A25" s="20"/>
      <c r="B25" s="12" t="s">
        <v>24</v>
      </c>
      <c r="C25" s="1"/>
      <c r="D25" s="21">
        <f>D20+D24</f>
        <v>20975.51</v>
      </c>
      <c r="E25" s="60">
        <f>D25*(E20/(D20-K20))</f>
        <v>8129.797641</v>
      </c>
      <c r="F25" s="47">
        <f>F21*E25</f>
        <v>1162.372116</v>
      </c>
      <c r="G25" s="48">
        <f>G21*E25</f>
        <v>6967.425524</v>
      </c>
      <c r="H25" s="48">
        <f>D25*(H20/(D20-K20))</f>
        <v>12845.71236</v>
      </c>
      <c r="I25" s="47">
        <f>H25</f>
        <v>12845.71236</v>
      </c>
      <c r="J25" s="11"/>
      <c r="K25" s="61"/>
      <c r="L25" s="62"/>
      <c r="M25" s="62"/>
      <c r="N25" s="63"/>
    </row>
    <row r="26" ht="15.75" customHeight="1">
      <c r="A26" s="31"/>
      <c r="B26" s="64" t="s">
        <v>25</v>
      </c>
      <c r="C26" s="30"/>
      <c r="D26" s="31"/>
      <c r="E26" s="51">
        <f t="shared" ref="E26:F26" si="8">E25/D25</f>
        <v>0.3875852192</v>
      </c>
      <c r="F26" s="30">
        <f t="shared" si="8"/>
        <v>0.1429767588</v>
      </c>
      <c r="G26" s="33">
        <f>G25/E25</f>
        <v>0.8570232412</v>
      </c>
      <c r="H26" s="33">
        <f>H25/D25</f>
        <v>0.6124147808</v>
      </c>
      <c r="I26" s="30">
        <f>I25/H25</f>
        <v>1</v>
      </c>
      <c r="J26" s="34"/>
      <c r="K26" s="65"/>
      <c r="L26" s="66"/>
      <c r="M26" s="66"/>
      <c r="N26" s="67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5.75" customHeight="1">
      <c r="A27" s="20"/>
      <c r="B27" s="1"/>
      <c r="C27" s="1"/>
      <c r="D27" s="21"/>
      <c r="E27" s="22"/>
      <c r="F27" s="28"/>
      <c r="G27" s="14"/>
      <c r="H27" s="22"/>
      <c r="I27" s="28"/>
      <c r="J27" s="27"/>
      <c r="K27" s="23"/>
      <c r="L27" s="1"/>
      <c r="M27" s="23"/>
      <c r="N27" s="11"/>
    </row>
    <row r="28" ht="15.75" customHeight="1">
      <c r="A28" s="68">
        <v>42465.0</v>
      </c>
      <c r="B28" s="1" t="s">
        <v>26</v>
      </c>
      <c r="C28" s="1"/>
      <c r="D28" s="21">
        <f>24.64+4.08+3.32+2.97</f>
        <v>35.01</v>
      </c>
      <c r="E28" s="21">
        <f t="shared" ref="E28:F28" si="9">D28*E26</f>
        <v>13.56935852</v>
      </c>
      <c r="F28" s="47">
        <f t="shared" si="9"/>
        <v>1.940102901</v>
      </c>
      <c r="G28" s="48">
        <f>E28*G26</f>
        <v>11.62925562</v>
      </c>
      <c r="H28" s="22">
        <f>D28*H26</f>
        <v>21.44064148</v>
      </c>
      <c r="I28" s="1"/>
      <c r="J28" s="14"/>
      <c r="K28" s="14"/>
      <c r="L28" s="1"/>
      <c r="M28" s="1"/>
      <c r="N28" s="1"/>
    </row>
    <row r="29" ht="15.75" customHeight="1">
      <c r="A29" s="1"/>
      <c r="B29" s="1" t="s">
        <v>27</v>
      </c>
      <c r="C29" s="1"/>
      <c r="D29" s="21">
        <f>-7500</f>
        <v>-7500</v>
      </c>
      <c r="E29" s="21">
        <v>-3750.0</v>
      </c>
      <c r="F29" s="47">
        <f>E29*F23</f>
        <v>-536.1628456</v>
      </c>
      <c r="G29" s="48">
        <f>E29*G23</f>
        <v>-3213.837154</v>
      </c>
      <c r="H29" s="22">
        <f>-3750</f>
        <v>-3750</v>
      </c>
      <c r="I29" s="1"/>
      <c r="J29" s="14"/>
      <c r="K29" s="14"/>
      <c r="L29" s="1"/>
      <c r="M29" s="1"/>
      <c r="N29" s="1"/>
    </row>
    <row r="30" ht="15.75" customHeight="1">
      <c r="A30" s="1"/>
      <c r="B30" s="12" t="s">
        <v>28</v>
      </c>
      <c r="C30" s="1"/>
      <c r="D30" s="21">
        <f>-1980</f>
        <v>-1980</v>
      </c>
      <c r="E30" s="21">
        <f>D30*(E18+E25)/(D18+D25)</f>
        <v>-856.4309887</v>
      </c>
      <c r="F30" s="47">
        <f>E30*F23</f>
        <v>-122.4497269</v>
      </c>
      <c r="G30" s="48">
        <f>E30*G23</f>
        <v>-733.9812618</v>
      </c>
      <c r="H30" s="22">
        <f>D30*(H18+H25)/(D18+D25)</f>
        <v>-1123.569011</v>
      </c>
      <c r="I30" s="1"/>
      <c r="J30" s="14"/>
      <c r="K30" s="14"/>
      <c r="L30" s="1"/>
      <c r="M30" s="1"/>
      <c r="N30" s="47">
        <f>F30+G30+H30</f>
        <v>-1980</v>
      </c>
    </row>
    <row r="31" ht="15.75" customHeight="1">
      <c r="A31" s="1"/>
      <c r="B31" s="1"/>
      <c r="C31" s="1"/>
      <c r="D31" s="21"/>
      <c r="E31" s="21"/>
      <c r="F31" s="1"/>
      <c r="G31" s="14"/>
      <c r="H31" s="22"/>
      <c r="I31" s="1"/>
      <c r="J31" s="14"/>
      <c r="K31" s="14"/>
      <c r="L31" s="1"/>
      <c r="M31" s="1"/>
      <c r="N31" s="1"/>
    </row>
    <row r="32" ht="15.75" customHeight="1">
      <c r="A32" s="1"/>
      <c r="B32" s="1" t="s">
        <v>29</v>
      </c>
      <c r="C32" s="1"/>
      <c r="D32" s="47">
        <f t="shared" ref="D32:E32" si="10">D18-D29</f>
        <v>470660.27</v>
      </c>
      <c r="E32" s="22">
        <f t="shared" si="10"/>
        <v>205028.73</v>
      </c>
      <c r="F32" s="47">
        <f>E32*F19</f>
        <v>29314.34328</v>
      </c>
      <c r="G32" s="48">
        <f>E32*G19</f>
        <v>175714.3867</v>
      </c>
      <c r="H32" s="22">
        <f>H18-H29</f>
        <v>265631.54</v>
      </c>
      <c r="I32" s="23">
        <f>H32</f>
        <v>265631.54</v>
      </c>
      <c r="J32" s="14"/>
      <c r="K32" s="14"/>
      <c r="L32" s="1"/>
      <c r="M32" s="1"/>
      <c r="N32" s="47">
        <f>F32+G32+H32</f>
        <v>470660.27</v>
      </c>
    </row>
    <row r="33" ht="15.75" customHeight="1">
      <c r="A33" s="30"/>
      <c r="B33" s="30" t="s">
        <v>14</v>
      </c>
      <c r="C33" s="30"/>
      <c r="D33" s="30"/>
      <c r="E33" s="33">
        <f t="shared" ref="E33:F33" si="11">E32/D32</f>
        <v>0.4356193694</v>
      </c>
      <c r="F33" s="30">
        <f t="shared" si="11"/>
        <v>0.1429767588</v>
      </c>
      <c r="G33" s="33">
        <f>G32/E32</f>
        <v>0.8570232412</v>
      </c>
      <c r="H33" s="33">
        <f>H32/D32</f>
        <v>0.5643806306</v>
      </c>
      <c r="I33" s="30">
        <f>I32/H32</f>
        <v>1</v>
      </c>
      <c r="J33" s="33"/>
      <c r="K33" s="33"/>
      <c r="L33" s="30"/>
      <c r="M33" s="30"/>
      <c r="N33" s="30">
        <f>E33+H33</f>
        <v>1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5.75" customHeight="1">
      <c r="A34" s="69"/>
      <c r="B34" s="69" t="s">
        <v>30</v>
      </c>
      <c r="C34" s="69"/>
      <c r="D34" s="69">
        <v>476356.72</v>
      </c>
      <c r="E34" s="70">
        <f>((D34-D32)*E33)+E32</f>
        <v>207510.214</v>
      </c>
      <c r="F34" s="69">
        <f>E34*F33</f>
        <v>29669.13781</v>
      </c>
      <c r="G34" s="70">
        <f>E34*G33</f>
        <v>177841.0761</v>
      </c>
      <c r="H34" s="70">
        <f>((D34-D32)*H33)+H32</f>
        <v>268846.506</v>
      </c>
      <c r="I34" s="69">
        <f>H34</f>
        <v>268846.506</v>
      </c>
      <c r="J34" s="70"/>
      <c r="K34" s="70"/>
      <c r="L34" s="69"/>
      <c r="M34" s="69"/>
      <c r="N34" s="69">
        <f>F34+G34+H34</f>
        <v>476356.72</v>
      </c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5.75" customHeight="1">
      <c r="A35" s="69"/>
      <c r="B35" s="69" t="s">
        <v>31</v>
      </c>
      <c r="C35" s="69"/>
      <c r="D35" s="69">
        <v>144000.0</v>
      </c>
      <c r="E35" s="70"/>
      <c r="F35" s="69"/>
      <c r="G35" s="70"/>
      <c r="H35" s="70"/>
      <c r="I35" s="69"/>
      <c r="J35" s="70"/>
      <c r="K35" s="70">
        <v>144000.0</v>
      </c>
      <c r="L35" s="69">
        <v>144000.0</v>
      </c>
      <c r="M35" s="69"/>
      <c r="N35" s="69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5.75" customHeight="1">
      <c r="A36" s="20"/>
      <c r="B36" s="1" t="s">
        <v>32</v>
      </c>
      <c r="C36" s="1"/>
      <c r="D36" s="21">
        <f t="shared" ref="D36:H36" si="12">D25+D28+D29+D30</f>
        <v>11530.52</v>
      </c>
      <c r="E36" s="22">
        <f t="shared" si="12"/>
        <v>3536.936011</v>
      </c>
      <c r="F36" s="47">
        <f t="shared" si="12"/>
        <v>505.6996469</v>
      </c>
      <c r="G36" s="48">
        <f t="shared" si="12"/>
        <v>3031.236364</v>
      </c>
      <c r="H36" s="22">
        <f t="shared" si="12"/>
        <v>7993.583989</v>
      </c>
      <c r="I36" s="47">
        <f>H36</f>
        <v>7993.583989</v>
      </c>
      <c r="J36" s="14"/>
      <c r="K36" s="29"/>
      <c r="L36" s="1"/>
      <c r="M36" s="1"/>
      <c r="N36" s="47">
        <f>F36+G36+I36</f>
        <v>11530.52</v>
      </c>
    </row>
    <row r="37" ht="15.75" customHeight="1">
      <c r="A37" s="30"/>
      <c r="B37" s="30" t="s">
        <v>25</v>
      </c>
      <c r="C37" s="30"/>
      <c r="D37" s="31"/>
      <c r="E37" s="32">
        <f t="shared" ref="E37:F37" si="13">E36/D36</f>
        <v>0.306745577</v>
      </c>
      <c r="F37" s="30">
        <f t="shared" si="13"/>
        <v>0.1429767588</v>
      </c>
      <c r="G37" s="33">
        <f>G36/E36</f>
        <v>0.8570232412</v>
      </c>
      <c r="H37" s="32">
        <f>H36/D36</f>
        <v>0.693254423</v>
      </c>
      <c r="I37" s="30">
        <f>I36/H36</f>
        <v>1</v>
      </c>
      <c r="J37" s="33"/>
      <c r="K37" s="32"/>
      <c r="L37" s="30"/>
      <c r="M37" s="30"/>
      <c r="N37" s="30">
        <f>E37+H37</f>
        <v>1</v>
      </c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5.75" customHeight="1">
      <c r="A38" s="36"/>
      <c r="B38" s="72" t="s">
        <v>16</v>
      </c>
      <c r="C38" s="36"/>
      <c r="D38" s="37">
        <f t="shared" ref="D38:I38" si="14">D34+D35+D36</f>
        <v>631887.24</v>
      </c>
      <c r="E38" s="73">
        <f t="shared" si="14"/>
        <v>211047.15</v>
      </c>
      <c r="F38" s="74">
        <f t="shared" si="14"/>
        <v>30174.83746</v>
      </c>
      <c r="G38" s="75">
        <f t="shared" si="14"/>
        <v>180872.3125</v>
      </c>
      <c r="H38" s="75">
        <f t="shared" si="14"/>
        <v>276840.09</v>
      </c>
      <c r="I38" s="74">
        <f t="shared" si="14"/>
        <v>276840.09</v>
      </c>
      <c r="J38" s="76"/>
      <c r="K38" s="77">
        <v>144000.0</v>
      </c>
      <c r="L38" s="74">
        <f>L34+L35+L36</f>
        <v>144000</v>
      </c>
      <c r="M38" s="36"/>
      <c r="N38" s="74">
        <f>F38+G38+H38+L38</f>
        <v>631887.24</v>
      </c>
    </row>
    <row r="39" ht="15.75" customHeight="1">
      <c r="A39" s="55"/>
      <c r="B39" s="78" t="s">
        <v>17</v>
      </c>
      <c r="C39" s="55"/>
      <c r="D39" s="43"/>
      <c r="E39" s="42">
        <f t="shared" ref="E39:F39" si="15">E38/D38</f>
        <v>0.3339949545</v>
      </c>
      <c r="F39" s="43">
        <f t="shared" si="15"/>
        <v>0.1429767588</v>
      </c>
      <c r="G39" s="42">
        <f>G38/E38</f>
        <v>0.8570232412</v>
      </c>
      <c r="H39" s="42">
        <f>H38/D38</f>
        <v>0.4381162848</v>
      </c>
      <c r="I39" s="43">
        <f>I38/H38</f>
        <v>1</v>
      </c>
      <c r="J39" s="42"/>
      <c r="K39" s="42">
        <f>K38/D38</f>
        <v>0.2278887607</v>
      </c>
      <c r="L39" s="43">
        <f>L38/K38</f>
        <v>1</v>
      </c>
      <c r="M39" s="43"/>
      <c r="N39" s="43">
        <f>E39+H39+K39</f>
        <v>1</v>
      </c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5.75" customHeight="1">
      <c r="A40" s="1"/>
      <c r="B40" s="1"/>
      <c r="C40" s="1"/>
      <c r="D40" s="1"/>
      <c r="E40" s="79"/>
      <c r="F40" s="28"/>
      <c r="G40" s="28"/>
      <c r="H40" s="28"/>
      <c r="I40" s="28"/>
      <c r="J40" s="28"/>
      <c r="K40" s="28"/>
      <c r="L40" s="28"/>
      <c r="M40" s="28"/>
      <c r="N40" s="1"/>
    </row>
    <row r="41" ht="15.75" customHeight="1">
      <c r="A41" s="68">
        <v>42830.0</v>
      </c>
      <c r="B41" s="80" t="s">
        <v>33</v>
      </c>
      <c r="C41" s="80"/>
      <c r="D41" s="47">
        <v>42500.0</v>
      </c>
      <c r="E41" s="81">
        <f>42500/2</f>
        <v>21250</v>
      </c>
      <c r="F41" s="21">
        <v>21250.0</v>
      </c>
      <c r="G41" s="81">
        <v>0.0</v>
      </c>
      <c r="H41" s="81">
        <v>21250.0</v>
      </c>
      <c r="I41" s="23"/>
      <c r="J41" s="82"/>
      <c r="K41" s="82"/>
      <c r="L41" s="23"/>
      <c r="M41" s="23"/>
      <c r="N41" s="47">
        <f t="shared" ref="N41:N44" si="16">F41+G41+H41</f>
        <v>42500</v>
      </c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ht="15.75" customHeight="1">
      <c r="B42" s="1" t="s">
        <v>26</v>
      </c>
      <c r="C42" s="1"/>
      <c r="D42" s="21">
        <f>2.03+1.54+0.98+0.5+0.2+0.19+0.16+1.67+0.27+0.28+0.23+0.26</f>
        <v>8.31</v>
      </c>
      <c r="E42" s="21">
        <f>D42*E37</f>
        <v>2.549055745</v>
      </c>
      <c r="F42" s="47">
        <f>E42*F39</f>
        <v>0.3644557284</v>
      </c>
      <c r="G42" s="48">
        <f>E42*G39</f>
        <v>2.184600016</v>
      </c>
      <c r="H42" s="22">
        <f>D42*H37</f>
        <v>5.760944255</v>
      </c>
      <c r="I42" s="1"/>
      <c r="J42" s="14"/>
      <c r="K42" s="14"/>
      <c r="L42" s="1"/>
      <c r="M42" s="1"/>
      <c r="N42" s="47">
        <f t="shared" si="16"/>
        <v>8.31</v>
      </c>
    </row>
    <row r="43" ht="15.75" customHeight="1">
      <c r="A43" s="1"/>
      <c r="B43" s="1" t="s">
        <v>27</v>
      </c>
      <c r="C43" s="1"/>
      <c r="D43" s="21">
        <v>-50000.0</v>
      </c>
      <c r="E43" s="21">
        <v>-25000.0</v>
      </c>
      <c r="F43" s="47">
        <f>E43*F39</f>
        <v>-3574.41897</v>
      </c>
      <c r="G43" s="48">
        <f>E43*G39</f>
        <v>-21425.58103</v>
      </c>
      <c r="H43" s="22">
        <v>-25000.0</v>
      </c>
      <c r="I43" s="1"/>
      <c r="J43" s="14"/>
      <c r="K43" s="14"/>
      <c r="L43" s="1"/>
      <c r="M43" s="1"/>
      <c r="N43" s="47">
        <f t="shared" si="16"/>
        <v>-50000</v>
      </c>
    </row>
    <row r="44" ht="15.75" customHeight="1">
      <c r="A44" s="1"/>
      <c r="B44" s="12" t="s">
        <v>28</v>
      </c>
      <c r="C44" s="1"/>
      <c r="D44" s="21">
        <v>-475.0</v>
      </c>
      <c r="E44" s="21">
        <f>D44*(E34+E36+E41+E42+E43)/(D34+D36+D41+D42+D43)</f>
        <v>-204.9714179</v>
      </c>
      <c r="F44" s="47">
        <f>F39*E44</f>
        <v>-29.30614898</v>
      </c>
      <c r="G44" s="48">
        <f>G39*E44</f>
        <v>-175.6652689</v>
      </c>
      <c r="H44" s="22">
        <f>D44*(H34+H36+H41+H42+H43)/(D34+D36+D41+D42+D43)</f>
        <v>-270.0285821</v>
      </c>
      <c r="I44" s="1"/>
      <c r="J44" s="14"/>
      <c r="K44" s="14"/>
      <c r="L44" s="1"/>
      <c r="M44" s="1"/>
      <c r="N44" s="47">
        <f t="shared" si="16"/>
        <v>-475</v>
      </c>
    </row>
    <row r="45" ht="15.75" customHeight="1">
      <c r="A45" s="1"/>
      <c r="B45" s="1"/>
      <c r="C45" s="1"/>
      <c r="D45" s="21"/>
      <c r="E45" s="21"/>
      <c r="F45" s="1"/>
      <c r="G45" s="14"/>
      <c r="H45" s="22"/>
      <c r="I45" s="1"/>
      <c r="J45" s="14"/>
      <c r="K45" s="14"/>
      <c r="L45" s="1"/>
      <c r="M45" s="1"/>
      <c r="N45" s="1"/>
    </row>
    <row r="46" ht="15.75" customHeight="1">
      <c r="A46" s="1"/>
      <c r="B46" s="1" t="s">
        <v>29</v>
      </c>
      <c r="C46" s="1"/>
      <c r="D46" s="47">
        <f t="shared" ref="D46:H46" si="17">D34-D43</f>
        <v>526356.72</v>
      </c>
      <c r="E46" s="22">
        <f t="shared" si="17"/>
        <v>232510.214</v>
      </c>
      <c r="F46" s="47">
        <f t="shared" si="17"/>
        <v>33243.55678</v>
      </c>
      <c r="G46" s="48">
        <f t="shared" si="17"/>
        <v>199266.6572</v>
      </c>
      <c r="H46" s="22">
        <f t="shared" si="17"/>
        <v>293846.506</v>
      </c>
      <c r="I46" s="21">
        <f>H46</f>
        <v>293846.506</v>
      </c>
      <c r="J46" s="14"/>
      <c r="K46" s="14"/>
      <c r="L46" s="1"/>
      <c r="M46" s="1"/>
      <c r="N46" s="47">
        <f>F46+G46+H46</f>
        <v>526356.72</v>
      </c>
    </row>
    <row r="47" ht="15.75" customHeight="1">
      <c r="A47" s="30"/>
      <c r="B47" s="30" t="s">
        <v>14</v>
      </c>
      <c r="C47" s="30"/>
      <c r="D47" s="30"/>
      <c r="E47" s="33">
        <f t="shared" ref="E47:F47" si="18">E46/D46</f>
        <v>0.4417350537</v>
      </c>
      <c r="F47" s="30">
        <f t="shared" si="18"/>
        <v>0.1429767588</v>
      </c>
      <c r="G47" s="33">
        <f>G46/E46</f>
        <v>0.8570232412</v>
      </c>
      <c r="H47" s="33">
        <f>H46/D46</f>
        <v>0.5582649463</v>
      </c>
      <c r="I47" s="30">
        <f>I46/H46</f>
        <v>1</v>
      </c>
      <c r="J47" s="33"/>
      <c r="K47" s="33"/>
      <c r="L47" s="30"/>
      <c r="M47" s="30"/>
      <c r="N47" s="30">
        <f>E47+H47</f>
        <v>1</v>
      </c>
    </row>
    <row r="48" ht="15.75" customHeight="1">
      <c r="A48" s="69"/>
      <c r="B48" s="69" t="s">
        <v>30</v>
      </c>
      <c r="C48" s="69"/>
      <c r="D48" s="69">
        <v>618982.02</v>
      </c>
      <c r="E48" s="70">
        <f>((D48-D46)*E47)+E46</f>
        <v>273426.0558</v>
      </c>
      <c r="F48" s="69">
        <f>E48*F47</f>
        <v>39093.57124</v>
      </c>
      <c r="G48" s="70">
        <f>E48*G47</f>
        <v>234332.4846</v>
      </c>
      <c r="H48" s="70">
        <f>((D48-D46)*H47)+H46</f>
        <v>345555.9642</v>
      </c>
      <c r="I48" s="69">
        <f>H48</f>
        <v>345555.9642</v>
      </c>
      <c r="J48" s="70"/>
      <c r="K48" s="70"/>
      <c r="L48" s="69"/>
      <c r="M48" s="69"/>
      <c r="N48" s="69">
        <f>F48+G48+H48</f>
        <v>618982.02</v>
      </c>
    </row>
    <row r="49" ht="15.75" customHeight="1">
      <c r="A49" s="69"/>
      <c r="B49" s="69" t="s">
        <v>31</v>
      </c>
      <c r="C49" s="69"/>
      <c r="D49" s="69">
        <v>144000.0</v>
      </c>
      <c r="E49" s="70"/>
      <c r="F49" s="69"/>
      <c r="G49" s="70"/>
      <c r="H49" s="70"/>
      <c r="I49" s="69"/>
      <c r="J49" s="70"/>
      <c r="K49" s="70">
        <v>144000.0</v>
      </c>
      <c r="L49" s="69">
        <v>144000.0</v>
      </c>
      <c r="M49" s="69"/>
      <c r="N49" s="69"/>
    </row>
    <row r="50" ht="15.75" customHeight="1">
      <c r="A50" s="20"/>
      <c r="B50" s="1" t="s">
        <v>32</v>
      </c>
      <c r="C50" s="1"/>
      <c r="D50" s="21">
        <f t="shared" ref="D50:E50" si="19">D36+D41+D42+D43+D44</f>
        <v>3563.83</v>
      </c>
      <c r="E50" s="22">
        <f t="shared" si="19"/>
        <v>-415.4863516</v>
      </c>
      <c r="F50" s="47">
        <f>E50*F39</f>
        <v>-59.40489188</v>
      </c>
      <c r="G50" s="48">
        <f>E50*G39</f>
        <v>-356.0814597</v>
      </c>
      <c r="H50" s="22">
        <f>H36+H41+H42+H43+H44</f>
        <v>3979.316352</v>
      </c>
      <c r="I50" s="47">
        <f>H50</f>
        <v>3979.316352</v>
      </c>
      <c r="J50" s="14"/>
      <c r="K50" s="29"/>
      <c r="L50" s="1"/>
      <c r="M50" s="1"/>
      <c r="N50" s="47">
        <f>F50+G50+I50</f>
        <v>3563.83</v>
      </c>
    </row>
    <row r="51" ht="15.75" customHeight="1">
      <c r="A51" s="30"/>
      <c r="B51" s="30" t="s">
        <v>25</v>
      </c>
      <c r="C51" s="30"/>
      <c r="D51" s="31"/>
      <c r="E51" s="32">
        <f t="shared" ref="E51:F51" si="20">E50/D50</f>
        <v>-0.116584223</v>
      </c>
      <c r="F51" s="30">
        <f t="shared" si="20"/>
        <v>0.1429767588</v>
      </c>
      <c r="G51" s="33">
        <f>G50/E50</f>
        <v>0.8570232412</v>
      </c>
      <c r="H51" s="32">
        <f>H50/D50</f>
        <v>1.116584223</v>
      </c>
      <c r="I51" s="30">
        <f>I50/H50</f>
        <v>1</v>
      </c>
      <c r="J51" s="33"/>
      <c r="K51" s="32"/>
      <c r="L51" s="30"/>
      <c r="M51" s="30"/>
      <c r="N51" s="30">
        <f>E51+H51</f>
        <v>1</v>
      </c>
    </row>
    <row r="52" ht="15.75" customHeight="1">
      <c r="A52" s="36"/>
      <c r="B52" s="72" t="s">
        <v>16</v>
      </c>
      <c r="C52" s="36"/>
      <c r="D52" s="37">
        <f t="shared" ref="D52:I52" si="21">D48+D49+D50</f>
        <v>766545.85</v>
      </c>
      <c r="E52" s="73">
        <f t="shared" si="21"/>
        <v>273010.5695</v>
      </c>
      <c r="F52" s="74">
        <f t="shared" si="21"/>
        <v>39034.16635</v>
      </c>
      <c r="G52" s="75">
        <f t="shared" si="21"/>
        <v>233976.4031</v>
      </c>
      <c r="H52" s="75">
        <f t="shared" si="21"/>
        <v>349535.2805</v>
      </c>
      <c r="I52" s="74">
        <f t="shared" si="21"/>
        <v>349535.2805</v>
      </c>
      <c r="J52" s="76"/>
      <c r="K52" s="77">
        <v>144000.0</v>
      </c>
      <c r="L52" s="74">
        <f>L48+L49+L50</f>
        <v>144000</v>
      </c>
      <c r="M52" s="36"/>
      <c r="N52" s="74">
        <f>F52+G52+H52+L52</f>
        <v>766545.85</v>
      </c>
    </row>
    <row r="53" ht="15.75" customHeight="1">
      <c r="A53" s="55"/>
      <c r="B53" s="78" t="s">
        <v>17</v>
      </c>
      <c r="C53" s="55"/>
      <c r="D53" s="43"/>
      <c r="E53" s="42">
        <f t="shared" ref="E53:F53" si="22">E52/D52</f>
        <v>0.3561568685</v>
      </c>
      <c r="F53" s="43">
        <f t="shared" si="22"/>
        <v>0.1429767588</v>
      </c>
      <c r="G53" s="42">
        <f>G52/E52</f>
        <v>0.8570232412</v>
      </c>
      <c r="H53" s="42">
        <f>H52/D52</f>
        <v>0.455987441</v>
      </c>
      <c r="I53" s="43">
        <f>I52/H52</f>
        <v>1</v>
      </c>
      <c r="J53" s="42"/>
      <c r="K53" s="42">
        <f>K52/D52</f>
        <v>0.1878556906</v>
      </c>
      <c r="L53" s="43">
        <f>L52/K52</f>
        <v>1</v>
      </c>
      <c r="M53" s="43"/>
      <c r="N53" s="43">
        <f>E53+H53+K53</f>
        <v>1</v>
      </c>
    </row>
    <row r="54" ht="15.75" customHeight="1"/>
    <row r="55" ht="15.75" customHeight="1">
      <c r="A55" s="68">
        <v>43195.0</v>
      </c>
      <c r="B55" s="80" t="s">
        <v>33</v>
      </c>
      <c r="C55" s="80"/>
      <c r="D55" s="47">
        <v>20000.0</v>
      </c>
      <c r="E55" s="81">
        <v>10000.0</v>
      </c>
      <c r="F55" s="21">
        <v>10000.0</v>
      </c>
      <c r="G55" s="81">
        <v>0.0</v>
      </c>
      <c r="H55" s="81">
        <v>10000.0</v>
      </c>
      <c r="I55" s="23"/>
      <c r="J55" s="82"/>
      <c r="K55" s="82"/>
      <c r="L55" s="23"/>
      <c r="M55" s="23"/>
      <c r="N55" s="47">
        <f t="shared" ref="N55:N58" si="23">F55+G55+H55</f>
        <v>20000</v>
      </c>
    </row>
    <row r="56" ht="15.75" customHeight="1">
      <c r="B56" s="1" t="s">
        <v>26</v>
      </c>
      <c r="C56" s="1"/>
      <c r="D56" s="21">
        <f>0.28+0.22+0.24+0.21+0.19+0.24+0.08+0.11+0.15</f>
        <v>1.72</v>
      </c>
      <c r="E56" s="21">
        <f>D56*E51</f>
        <v>-0.2005248636</v>
      </c>
      <c r="F56" s="47">
        <f>E56*F53</f>
        <v>-0.02867039506</v>
      </c>
      <c r="G56" s="48">
        <f>E56*G53</f>
        <v>-0.1718544686</v>
      </c>
      <c r="H56" s="22">
        <f>D56*H51</f>
        <v>1.920524864</v>
      </c>
      <c r="I56" s="1"/>
      <c r="J56" s="14"/>
      <c r="K56" s="14"/>
      <c r="L56" s="1"/>
      <c r="M56" s="1"/>
      <c r="N56" s="47">
        <f t="shared" si="23"/>
        <v>1.72</v>
      </c>
    </row>
    <row r="57" ht="15.75" customHeight="1">
      <c r="A57" s="1"/>
      <c r="B57" s="1" t="s">
        <v>27</v>
      </c>
      <c r="C57" s="1"/>
      <c r="D57" s="21">
        <v>-20000.0</v>
      </c>
      <c r="E57" s="21">
        <v>-10000.0</v>
      </c>
      <c r="F57" s="47">
        <f>E57*F53</f>
        <v>-1429.767588</v>
      </c>
      <c r="G57" s="48">
        <f>E57*G53</f>
        <v>-8570.232412</v>
      </c>
      <c r="H57" s="22">
        <v>-10000.0</v>
      </c>
      <c r="I57" s="1"/>
      <c r="J57" s="14"/>
      <c r="K57" s="14"/>
      <c r="L57" s="1"/>
      <c r="M57" s="1"/>
      <c r="N57" s="47">
        <f t="shared" si="23"/>
        <v>-20000</v>
      </c>
    </row>
    <row r="58" ht="15.75" customHeight="1">
      <c r="A58" s="1"/>
      <c r="B58" s="12" t="s">
        <v>28</v>
      </c>
      <c r="C58" s="1"/>
      <c r="D58" s="21">
        <f>-(440*5)-35</f>
        <v>-2235</v>
      </c>
      <c r="E58" s="21">
        <f>D58*((E52+E55+E56+E57)/(D48+D50+D55+D56+D57))</f>
        <v>-980.1310036</v>
      </c>
      <c r="F58" s="47">
        <f>F53*E58</f>
        <v>-140.1359541</v>
      </c>
      <c r="G58" s="48">
        <f>G53*E58</f>
        <v>-839.9950495</v>
      </c>
      <c r="H58" s="22">
        <f>D58*(H52+H55+H56+H57)/(D48+D50+D55+D56+D57)</f>
        <v>-1254.868996</v>
      </c>
      <c r="I58" s="1"/>
      <c r="J58" s="14"/>
      <c r="K58" s="14"/>
      <c r="L58" s="1"/>
      <c r="M58" s="1"/>
      <c r="N58" s="47">
        <f t="shared" si="23"/>
        <v>-2235</v>
      </c>
    </row>
    <row r="59" ht="15.75" customHeight="1">
      <c r="A59" s="1"/>
      <c r="B59" s="1"/>
      <c r="C59" s="1"/>
      <c r="D59" s="21"/>
      <c r="E59" s="21"/>
      <c r="F59" s="1"/>
      <c r="G59" s="14"/>
      <c r="H59" s="22"/>
      <c r="I59" s="1"/>
      <c r="J59" s="14"/>
      <c r="K59" s="14"/>
      <c r="L59" s="1"/>
      <c r="M59" s="1"/>
      <c r="N59" s="1"/>
    </row>
    <row r="60" ht="15.75" customHeight="1">
      <c r="A60" s="1"/>
      <c r="B60" s="1" t="s">
        <v>29</v>
      </c>
      <c r="C60" s="1"/>
      <c r="D60" s="47">
        <f t="shared" ref="D60:H60" si="24">D48-D57</f>
        <v>638982.02</v>
      </c>
      <c r="E60" s="22">
        <f t="shared" si="24"/>
        <v>283426.0558</v>
      </c>
      <c r="F60" s="47">
        <f t="shared" si="24"/>
        <v>40523.33883</v>
      </c>
      <c r="G60" s="48">
        <f t="shared" si="24"/>
        <v>242902.717</v>
      </c>
      <c r="H60" s="22">
        <f t="shared" si="24"/>
        <v>355555.9642</v>
      </c>
      <c r="I60" s="21">
        <f>H60</f>
        <v>355555.9642</v>
      </c>
      <c r="J60" s="14"/>
      <c r="K60" s="14"/>
      <c r="L60" s="1"/>
      <c r="M60" s="1"/>
      <c r="N60" s="47">
        <f>F60+G60+H60</f>
        <v>638982.02</v>
      </c>
    </row>
    <row r="61" ht="15.75" customHeight="1">
      <c r="A61" s="30"/>
      <c r="B61" s="30" t="s">
        <v>14</v>
      </c>
      <c r="C61" s="30"/>
      <c r="D61" s="30"/>
      <c r="E61" s="33">
        <f t="shared" ref="E61:F61" si="25">E60/D60</f>
        <v>0.443558734</v>
      </c>
      <c r="F61" s="30">
        <f t="shared" si="25"/>
        <v>0.1429767588</v>
      </c>
      <c r="G61" s="33">
        <f>G60/E60</f>
        <v>0.8570232412</v>
      </c>
      <c r="H61" s="33">
        <f>H60/D60</f>
        <v>0.556441266</v>
      </c>
      <c r="I61" s="30">
        <f>I60/H60</f>
        <v>1</v>
      </c>
      <c r="J61" s="33"/>
      <c r="K61" s="33"/>
      <c r="L61" s="30"/>
      <c r="M61" s="30"/>
      <c r="N61" s="30">
        <f>E61+H61</f>
        <v>1</v>
      </c>
    </row>
    <row r="62" ht="15.75" customHeight="1">
      <c r="A62" s="69"/>
      <c r="B62" s="69" t="s">
        <v>30</v>
      </c>
      <c r="C62" s="69"/>
      <c r="D62" s="69">
        <v>633169.83</v>
      </c>
      <c r="E62" s="70">
        <f>((D62-D60)*E61)+E60</f>
        <v>280848.0082</v>
      </c>
      <c r="F62" s="69">
        <f>E62*F61</f>
        <v>40154.73793</v>
      </c>
      <c r="G62" s="70">
        <f>E62*G61</f>
        <v>240693.2703</v>
      </c>
      <c r="H62" s="70">
        <f>((D62-D60)*H61)+H60</f>
        <v>352321.8218</v>
      </c>
      <c r="I62" s="69">
        <f>H62</f>
        <v>352321.8218</v>
      </c>
      <c r="J62" s="70"/>
      <c r="K62" s="70"/>
      <c r="L62" s="69"/>
      <c r="M62" s="69"/>
      <c r="N62" s="69">
        <f>F62+G62+H62</f>
        <v>633169.83</v>
      </c>
    </row>
    <row r="63" ht="15.75" customHeight="1">
      <c r="A63" s="69"/>
      <c r="B63" s="69" t="s">
        <v>31</v>
      </c>
      <c r="C63" s="69"/>
      <c r="D63" s="69">
        <v>144000.0</v>
      </c>
      <c r="E63" s="70"/>
      <c r="F63" s="69"/>
      <c r="G63" s="70"/>
      <c r="H63" s="70"/>
      <c r="I63" s="69"/>
      <c r="J63" s="70"/>
      <c r="K63" s="70">
        <v>144000.0</v>
      </c>
      <c r="L63" s="69">
        <v>144000.0</v>
      </c>
      <c r="M63" s="69"/>
      <c r="N63" s="69"/>
    </row>
    <row r="64" ht="15.75" customHeight="1">
      <c r="A64" s="20"/>
      <c r="B64" s="1" t="s">
        <v>32</v>
      </c>
      <c r="C64" s="1"/>
      <c r="D64" s="21">
        <f t="shared" ref="D64:E64" si="26">D50+D55+D56+D57+D58</f>
        <v>1330.55</v>
      </c>
      <c r="E64" s="22">
        <f t="shared" si="26"/>
        <v>-1395.81788</v>
      </c>
      <c r="F64" s="47">
        <f>E64*F53</f>
        <v>-199.5695164</v>
      </c>
      <c r="G64" s="48">
        <f>E64*G53</f>
        <v>-1196.248364</v>
      </c>
      <c r="H64" s="22">
        <f>H50+H55+H56+H57+H58</f>
        <v>2726.36788</v>
      </c>
      <c r="I64" s="47">
        <f>H64</f>
        <v>2726.36788</v>
      </c>
      <c r="J64" s="14"/>
      <c r="K64" s="29"/>
      <c r="L64" s="1"/>
      <c r="M64" s="1"/>
      <c r="N64" s="47">
        <f>F64+G64+I64</f>
        <v>1330.55</v>
      </c>
    </row>
    <row r="65" ht="15.75" customHeight="1">
      <c r="A65" s="30"/>
      <c r="B65" s="30" t="s">
        <v>25</v>
      </c>
      <c r="C65" s="30"/>
      <c r="D65" s="31"/>
      <c r="E65" s="32">
        <f t="shared" ref="E65:F65" si="27">E64/D64</f>
        <v>-1.049053309</v>
      </c>
      <c r="F65" s="30">
        <f t="shared" si="27"/>
        <v>0.1429767588</v>
      </c>
      <c r="G65" s="33">
        <f>G64/E64</f>
        <v>0.8570232412</v>
      </c>
      <c r="H65" s="32">
        <f>H64/D64</f>
        <v>2.049053309</v>
      </c>
      <c r="I65" s="30">
        <f>I64/H64</f>
        <v>1</v>
      </c>
      <c r="J65" s="33"/>
      <c r="K65" s="32"/>
      <c r="L65" s="30"/>
      <c r="M65" s="30"/>
      <c r="N65" s="30">
        <f>E65+H65</f>
        <v>1</v>
      </c>
    </row>
    <row r="66" ht="15.75" customHeight="1">
      <c r="A66" s="36"/>
      <c r="B66" s="72" t="s">
        <v>16</v>
      </c>
      <c r="C66" s="36"/>
      <c r="D66" s="37">
        <f t="shared" ref="D66:I66" si="28">D62+D63+D64</f>
        <v>778500.38</v>
      </c>
      <c r="E66" s="73">
        <f t="shared" si="28"/>
        <v>279452.1903</v>
      </c>
      <c r="F66" s="74">
        <f t="shared" si="28"/>
        <v>39955.16841</v>
      </c>
      <c r="G66" s="75">
        <f t="shared" si="28"/>
        <v>239497.0219</v>
      </c>
      <c r="H66" s="75">
        <f t="shared" si="28"/>
        <v>355048.1897</v>
      </c>
      <c r="I66" s="74">
        <f t="shared" si="28"/>
        <v>355048.1897</v>
      </c>
      <c r="J66" s="76"/>
      <c r="K66" s="73">
        <v>144000.0</v>
      </c>
      <c r="L66" s="74">
        <f>L62+L63+L64</f>
        <v>144000</v>
      </c>
      <c r="M66" s="36"/>
      <c r="N66" s="74">
        <f>F66+G66+H66+L66</f>
        <v>778500.38</v>
      </c>
    </row>
    <row r="67" ht="15.75" customHeight="1">
      <c r="A67" s="55"/>
      <c r="B67" s="78" t="s">
        <v>17</v>
      </c>
      <c r="C67" s="55"/>
      <c r="D67" s="43"/>
      <c r="E67" s="42">
        <f t="shared" ref="E67:F67" si="29">E66/D66</f>
        <v>0.3589621758</v>
      </c>
      <c r="F67" s="43">
        <f t="shared" si="29"/>
        <v>0.1429767588</v>
      </c>
      <c r="G67" s="42">
        <f>G66/E66</f>
        <v>0.8570232412</v>
      </c>
      <c r="H67" s="42">
        <f>H66/D66</f>
        <v>0.4560668162</v>
      </c>
      <c r="I67" s="43">
        <f>I66/H66</f>
        <v>1</v>
      </c>
      <c r="J67" s="42"/>
      <c r="K67" s="42">
        <f>K66/D66</f>
        <v>0.184971008</v>
      </c>
      <c r="L67" s="43">
        <f>L66/K66</f>
        <v>1</v>
      </c>
      <c r="M67" s="43"/>
      <c r="N67" s="43">
        <f>E67+H67+K67</f>
        <v>1</v>
      </c>
    </row>
    <row r="68" ht="15.75" customHeight="1"/>
    <row r="69" ht="15.75" customHeight="1">
      <c r="A69" s="84">
        <v>43560.0</v>
      </c>
      <c r="B69" s="85" t="s">
        <v>33</v>
      </c>
      <c r="D69" s="71">
        <v>40000.0</v>
      </c>
      <c r="E69" s="71">
        <v>20000.0</v>
      </c>
      <c r="F69" s="71">
        <v>20000.0</v>
      </c>
      <c r="G69" s="71">
        <v>0.0</v>
      </c>
      <c r="H69" s="71">
        <v>20000.0</v>
      </c>
      <c r="I69" s="71">
        <f t="shared" ref="I69:I72" si="30">H69</f>
        <v>20000</v>
      </c>
      <c r="J69" s="71"/>
      <c r="K69" s="71"/>
      <c r="L69" s="71"/>
      <c r="M69" s="71"/>
      <c r="N69" s="71">
        <f>F69+G69+I69</f>
        <v>40000</v>
      </c>
    </row>
    <row r="70" ht="15.75" customHeight="1">
      <c r="B70" s="85" t="s">
        <v>26</v>
      </c>
      <c r="D70" s="71">
        <v>0.0</v>
      </c>
      <c r="E70" s="71">
        <v>0.0</v>
      </c>
      <c r="F70" s="71">
        <v>0.0</v>
      </c>
      <c r="G70" s="71">
        <v>0.0</v>
      </c>
      <c r="H70" s="71">
        <v>0.0</v>
      </c>
      <c r="I70" s="71">
        <f t="shared" si="30"/>
        <v>0</v>
      </c>
      <c r="J70" s="71"/>
      <c r="K70" s="71"/>
      <c r="L70" s="71"/>
      <c r="M70" s="71"/>
      <c r="N70" s="71">
        <v>0.0</v>
      </c>
    </row>
    <row r="71" ht="15.75" customHeight="1">
      <c r="B71" s="85" t="s">
        <v>27</v>
      </c>
      <c r="D71" s="71">
        <v>-37500.0</v>
      </c>
      <c r="E71" s="71">
        <f>D71/2</f>
        <v>-18750</v>
      </c>
      <c r="F71" s="71">
        <f>E71*F67</f>
        <v>-2680.814228</v>
      </c>
      <c r="G71" s="71">
        <f>E71*G67</f>
        <v>-16069.18577</v>
      </c>
      <c r="H71" s="71">
        <v>-18750.0</v>
      </c>
      <c r="I71" s="71">
        <f t="shared" si="30"/>
        <v>-18750</v>
      </c>
      <c r="J71" s="71"/>
      <c r="K71" s="71"/>
      <c r="L71" s="71"/>
      <c r="M71" s="71"/>
      <c r="N71" s="71">
        <f t="shared" ref="N71:N72" si="31">F71+G71+I71</f>
        <v>-37500</v>
      </c>
    </row>
    <row r="72" ht="15.75" customHeight="1">
      <c r="B72" s="85" t="s">
        <v>28</v>
      </c>
      <c r="D72" s="71">
        <f>-2042+271.45</f>
        <v>-1770.55</v>
      </c>
      <c r="E72" s="71">
        <f>D72*((E66+E69+E70+E71)/(D62+D64+D69+D70+D71))</f>
        <v>-780.2150182</v>
      </c>
      <c r="F72" s="71">
        <f>E72*F67</f>
        <v>-111.5526145</v>
      </c>
      <c r="G72" s="71">
        <f>E72*G67</f>
        <v>-668.6624037</v>
      </c>
      <c r="H72" s="71">
        <f>D72*((H66+H69+H70+H71)/(D62+D64+D69+D70+D71))</f>
        <v>-990.3349818</v>
      </c>
      <c r="I72" s="71">
        <f t="shared" si="30"/>
        <v>-990.3349818</v>
      </c>
      <c r="J72" s="71"/>
      <c r="K72" s="71"/>
      <c r="L72" s="71"/>
      <c r="M72" s="71"/>
      <c r="N72" s="71">
        <f t="shared" si="31"/>
        <v>-1770.55</v>
      </c>
    </row>
    <row r="73" ht="15.75" customHeight="1"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>
        <f>F73+G73+H73</f>
        <v>0</v>
      </c>
    </row>
    <row r="74" ht="15.75" customHeight="1">
      <c r="B74" s="85" t="s">
        <v>29</v>
      </c>
      <c r="D74" s="71">
        <f>D60-D71</f>
        <v>676482.02</v>
      </c>
      <c r="E74" s="71">
        <f t="shared" ref="E74:F74" si="32">D74*E61</f>
        <v>300059.5083</v>
      </c>
      <c r="F74" s="71">
        <f t="shared" si="32"/>
        <v>42901.53596</v>
      </c>
      <c r="G74" s="71">
        <f>E74*G61</f>
        <v>257157.9724</v>
      </c>
      <c r="H74" s="71">
        <f>D74*H61</f>
        <v>376422.5117</v>
      </c>
      <c r="I74" s="71">
        <f>H74</f>
        <v>376422.5117</v>
      </c>
      <c r="J74" s="71"/>
      <c r="K74" s="71"/>
      <c r="L74" s="71"/>
      <c r="M74" s="71"/>
      <c r="N74" s="71">
        <f>F74+G74+I74</f>
        <v>676482.02</v>
      </c>
    </row>
    <row r="75" ht="15.75" customHeight="1">
      <c r="B75" s="85" t="s">
        <v>14</v>
      </c>
      <c r="D75" s="35"/>
      <c r="E75" s="35">
        <f t="shared" ref="E75:F75" si="33">E74/D74</f>
        <v>0.443558734</v>
      </c>
      <c r="F75" s="35">
        <f t="shared" si="33"/>
        <v>0.1429767588</v>
      </c>
      <c r="G75" s="35">
        <f>G74/E74</f>
        <v>0.8570232412</v>
      </c>
      <c r="H75" s="35">
        <f>H74/D74</f>
        <v>0.556441266</v>
      </c>
      <c r="I75" s="71"/>
      <c r="J75" s="35"/>
      <c r="K75" s="35"/>
      <c r="L75" s="35"/>
      <c r="M75" s="35"/>
      <c r="N75" s="71"/>
    </row>
    <row r="76" ht="15.75" customHeight="1">
      <c r="B76" s="85" t="s">
        <v>30</v>
      </c>
      <c r="D76" s="71">
        <v>716693.86</v>
      </c>
      <c r="E76" s="71">
        <f t="shared" ref="E76:F76" si="34">D76*E75</f>
        <v>317895.8212</v>
      </c>
      <c r="F76" s="71">
        <f t="shared" si="34"/>
        <v>45451.71415</v>
      </c>
      <c r="G76" s="71">
        <f>E76*G75</f>
        <v>272444.107</v>
      </c>
      <c r="H76" s="71">
        <f>D76*H75</f>
        <v>398798.0388</v>
      </c>
      <c r="I76" s="71">
        <f>H76</f>
        <v>398798.0388</v>
      </c>
      <c r="J76" s="71"/>
      <c r="K76" s="71"/>
      <c r="L76" s="71"/>
      <c r="M76" s="71"/>
      <c r="N76" s="71">
        <f>F76+G76+I76</f>
        <v>716693.86</v>
      </c>
    </row>
    <row r="77" ht="15.75" customHeight="1">
      <c r="B77" s="85" t="s">
        <v>31</v>
      </c>
      <c r="D77" s="71">
        <f>144000*0.993</f>
        <v>142992</v>
      </c>
      <c r="E77" s="71"/>
      <c r="F77" s="71"/>
      <c r="G77" s="71"/>
      <c r="H77" s="71"/>
      <c r="I77" s="71"/>
      <c r="J77" s="71"/>
      <c r="K77" s="71">
        <f>D77</f>
        <v>142992</v>
      </c>
      <c r="L77" s="71">
        <f>D77</f>
        <v>142992</v>
      </c>
      <c r="M77" s="71"/>
      <c r="N77" s="71"/>
    </row>
    <row r="78" ht="15.75" customHeight="1">
      <c r="B78" s="85" t="s">
        <v>32</v>
      </c>
      <c r="D78" s="71">
        <v>2060.0</v>
      </c>
      <c r="E78" s="71">
        <f>E64+E69+E70+E71+E72</f>
        <v>-926.0328982</v>
      </c>
      <c r="F78" s="71">
        <f>E78*F65</f>
        <v>-132.4011823</v>
      </c>
      <c r="G78" s="71">
        <f>E78*G65</f>
        <v>-793.6317159</v>
      </c>
      <c r="H78" s="71">
        <f>H64+H69+H70+H71+H72</f>
        <v>2986.032898</v>
      </c>
      <c r="I78" s="71">
        <f>H78</f>
        <v>2986.032898</v>
      </c>
      <c r="J78" s="71"/>
      <c r="K78" s="71"/>
      <c r="L78" s="71"/>
      <c r="M78" s="71"/>
      <c r="N78" s="71">
        <f>F78+G78+I78</f>
        <v>2060</v>
      </c>
    </row>
    <row r="79" ht="15.75" customHeight="1">
      <c r="B79" s="85" t="s">
        <v>25</v>
      </c>
      <c r="D79" s="71"/>
      <c r="E79" s="71"/>
      <c r="F79" s="35">
        <f>F78/E78</f>
        <v>0.1429767588</v>
      </c>
      <c r="G79" s="35">
        <f>G78/E78</f>
        <v>0.8570232412</v>
      </c>
      <c r="H79" s="35"/>
      <c r="I79" s="35">
        <v>1.0</v>
      </c>
      <c r="J79" s="71"/>
      <c r="K79" s="71"/>
      <c r="L79" s="71"/>
      <c r="M79" s="71"/>
      <c r="N79" s="71"/>
    </row>
    <row r="80" ht="15.75" customHeight="1">
      <c r="A80" s="86"/>
      <c r="B80" s="86" t="s">
        <v>16</v>
      </c>
      <c r="C80" s="86"/>
      <c r="D80" s="87">
        <f t="shared" ref="D80:H80" si="35">D76+D77+D78</f>
        <v>861745.86</v>
      </c>
      <c r="E80" s="87">
        <f t="shared" si="35"/>
        <v>316969.7883</v>
      </c>
      <c r="F80" s="87">
        <f t="shared" si="35"/>
        <v>45319.31297</v>
      </c>
      <c r="G80" s="87">
        <f t="shared" si="35"/>
        <v>271650.4753</v>
      </c>
      <c r="H80" s="87">
        <f t="shared" si="35"/>
        <v>401784.0717</v>
      </c>
      <c r="I80" s="87">
        <f>H80</f>
        <v>401784.0717</v>
      </c>
      <c r="J80" s="87"/>
      <c r="K80" s="87">
        <f t="shared" ref="K80:L80" si="36">K77</f>
        <v>142992</v>
      </c>
      <c r="L80" s="87">
        <f t="shared" si="36"/>
        <v>142992</v>
      </c>
      <c r="M80" s="87"/>
      <c r="N80" s="87">
        <f>F80+G80+H80+L80</f>
        <v>861745.86</v>
      </c>
    </row>
    <row r="81" ht="15.75" customHeight="1">
      <c r="A81" s="86"/>
      <c r="B81" s="86" t="s">
        <v>34</v>
      </c>
      <c r="C81" s="86"/>
      <c r="D81" s="88"/>
      <c r="E81" s="88">
        <f t="shared" ref="E81:F81" si="37">E80/D80</f>
        <v>0.3678228153</v>
      </c>
      <c r="F81" s="88">
        <f t="shared" si="37"/>
        <v>0.1429767588</v>
      </c>
      <c r="G81" s="88">
        <f>G80/E80</f>
        <v>0.8570232412</v>
      </c>
      <c r="H81" s="88">
        <f>H80/D80</f>
        <v>0.4662442727</v>
      </c>
      <c r="I81" s="88">
        <f>I80/H80</f>
        <v>1</v>
      </c>
      <c r="J81" s="86"/>
      <c r="K81" s="88">
        <f>K80/D80</f>
        <v>0.1659329121</v>
      </c>
      <c r="L81" s="86"/>
      <c r="M81" s="86"/>
      <c r="N81" s="88">
        <f>E81+H81+K81</f>
        <v>1</v>
      </c>
    </row>
    <row r="82" ht="15.75" customHeight="1"/>
    <row r="83" ht="15.75" customHeight="1">
      <c r="A83" s="84">
        <v>43586.0</v>
      </c>
      <c r="B83" s="85" t="s">
        <v>33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ht="15.75" customHeight="1">
      <c r="A84" s="90" t="s">
        <v>35</v>
      </c>
      <c r="B84" s="85" t="s">
        <v>26</v>
      </c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ht="15.75" customHeight="1">
      <c r="B85" s="85" t="s">
        <v>27</v>
      </c>
      <c r="D85" s="89">
        <v>47500.0</v>
      </c>
      <c r="E85" s="89">
        <v>-1250.0</v>
      </c>
      <c r="F85" s="89">
        <f>F81*E85</f>
        <v>-178.7209485</v>
      </c>
      <c r="G85" s="89">
        <f>G81*E85</f>
        <v>-1071.279051</v>
      </c>
      <c r="H85" s="89">
        <v>48750.0</v>
      </c>
      <c r="I85" s="89"/>
      <c r="J85" s="89"/>
      <c r="K85" s="89"/>
      <c r="L85" s="89"/>
      <c r="M85" s="89"/>
      <c r="N85" s="89"/>
    </row>
    <row r="86" ht="15.75" customHeight="1">
      <c r="B86" s="85" t="s">
        <v>28</v>
      </c>
      <c r="D86" s="89">
        <v>-2000.0</v>
      </c>
      <c r="E86" s="89">
        <f>D86*((E80+E83+E84+E85)/(D76+D78+D83+D84+D85))</f>
        <v>-824.060549</v>
      </c>
      <c r="F86" s="89">
        <f>F81*E86</f>
        <v>-117.8215064</v>
      </c>
      <c r="G86" s="89">
        <f>G81*E86</f>
        <v>-706.2390427</v>
      </c>
      <c r="H86" s="89">
        <f>D86*((H80+H83+H84+H85)/(D76+D78+D83+D84+D85))</f>
        <v>-1175.939451</v>
      </c>
      <c r="I86" s="89"/>
      <c r="J86" s="89"/>
      <c r="K86" s="89"/>
      <c r="L86" s="89"/>
      <c r="M86" s="89"/>
      <c r="N86" s="89">
        <f>E86+H86</f>
        <v>-2000</v>
      </c>
    </row>
    <row r="87" ht="15.75" customHeight="1">
      <c r="B87" s="85" t="s">
        <v>36</v>
      </c>
      <c r="D87" s="89">
        <v>-47560.0</v>
      </c>
      <c r="E87" s="89"/>
      <c r="F87" s="89"/>
      <c r="G87" s="89"/>
      <c r="H87" s="89">
        <v>-47560.0</v>
      </c>
      <c r="I87" s="89">
        <v>-47560.0</v>
      </c>
      <c r="J87" s="89"/>
      <c r="K87" s="89"/>
      <c r="L87" s="89"/>
      <c r="M87" s="89"/>
      <c r="N87" s="89"/>
    </row>
    <row r="88" ht="15.75" customHeight="1"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</row>
    <row r="89" ht="15.75" customHeight="1">
      <c r="B89" s="85" t="s">
        <v>29</v>
      </c>
      <c r="D89" s="89">
        <f t="shared" ref="D89:E89" si="38">D76-D85</f>
        <v>669193.86</v>
      </c>
      <c r="E89" s="89">
        <f t="shared" si="38"/>
        <v>319145.8212</v>
      </c>
      <c r="F89" s="89"/>
      <c r="G89" s="89"/>
      <c r="H89" s="89">
        <f>H76-H85</f>
        <v>350048.0388</v>
      </c>
      <c r="I89" s="89"/>
      <c r="J89" s="89"/>
      <c r="K89" s="89"/>
      <c r="L89" s="89"/>
      <c r="M89" s="89"/>
      <c r="N89" s="89">
        <f>E89+H89</f>
        <v>669193.86</v>
      </c>
    </row>
    <row r="90" ht="15.75" customHeight="1">
      <c r="B90" s="85" t="s">
        <v>14</v>
      </c>
      <c r="E90" s="35">
        <f>E89/D89</f>
        <v>0.4769108629</v>
      </c>
      <c r="F90" s="35"/>
      <c r="G90" s="35"/>
      <c r="H90" s="35">
        <f>H89/D89</f>
        <v>0.5230891371</v>
      </c>
    </row>
    <row r="91" ht="15.75" customHeight="1">
      <c r="B91" s="85" t="s">
        <v>30</v>
      </c>
    </row>
    <row r="92" ht="15.75" customHeight="1">
      <c r="B92" s="85" t="s">
        <v>31</v>
      </c>
      <c r="D92" s="89">
        <v>142992.0</v>
      </c>
      <c r="E92" s="89"/>
      <c r="F92" s="89"/>
      <c r="G92" s="89"/>
      <c r="H92" s="89"/>
      <c r="I92" s="89"/>
      <c r="J92" s="89"/>
      <c r="K92" s="89"/>
      <c r="L92" s="89"/>
      <c r="M92" s="89"/>
      <c r="N92" s="89"/>
    </row>
    <row r="93" ht="15.75" customHeight="1">
      <c r="B93" s="85" t="s">
        <v>32</v>
      </c>
      <c r="D93" s="89">
        <v>0.0</v>
      </c>
      <c r="E93" s="89">
        <f>E78+E85+E86</f>
        <v>-3000.093447</v>
      </c>
      <c r="F93" s="89">
        <f>E93*F81</f>
        <v>-428.9436372</v>
      </c>
      <c r="G93" s="89">
        <f>G81*E93</f>
        <v>-2571.14981</v>
      </c>
      <c r="H93" s="89">
        <f>H78+H85+H86+H87</f>
        <v>3000.093447</v>
      </c>
      <c r="I93" s="89"/>
      <c r="J93" s="89"/>
      <c r="K93" s="89"/>
      <c r="L93" s="89"/>
      <c r="M93" s="89"/>
      <c r="N93" s="89">
        <f>F93+G93+H93</f>
        <v>0</v>
      </c>
    </row>
    <row r="94" ht="15.75" customHeight="1">
      <c r="B94" s="85" t="s">
        <v>25</v>
      </c>
      <c r="F94" s="35">
        <f>F93/E93</f>
        <v>0.1429767588</v>
      </c>
      <c r="G94" s="35">
        <f>G93/E93</f>
        <v>0.8570232412</v>
      </c>
      <c r="H94" s="35"/>
      <c r="I94" s="35"/>
    </row>
    <row r="95" ht="15.75" customHeight="1">
      <c r="A95" s="86"/>
      <c r="B95" s="86" t="s">
        <v>16</v>
      </c>
      <c r="C95" s="86"/>
      <c r="D95" s="87">
        <f>D89+D92</f>
        <v>812185.86</v>
      </c>
      <c r="E95" s="87">
        <f>E89+E93</f>
        <v>316145.7277</v>
      </c>
      <c r="F95" s="87">
        <f>E95*F81</f>
        <v>45201.49147</v>
      </c>
      <c r="G95" s="87">
        <f>E95*G81</f>
        <v>270944.2363</v>
      </c>
      <c r="H95" s="87">
        <f>H89+H93</f>
        <v>353048.1323</v>
      </c>
      <c r="I95" s="87">
        <f>(H95-150000)</f>
        <v>203048.1323</v>
      </c>
      <c r="J95" s="87">
        <v>150000.0</v>
      </c>
      <c r="K95" s="87">
        <f>L80</f>
        <v>142992</v>
      </c>
      <c r="L95" s="87">
        <f>L80</f>
        <v>142992</v>
      </c>
      <c r="M95" s="86"/>
      <c r="N95" s="87">
        <f>F95+G95+I95+J95+L95</f>
        <v>812185.86</v>
      </c>
    </row>
    <row r="96" ht="15.75" customHeight="1">
      <c r="A96" s="86"/>
      <c r="B96" s="86" t="s">
        <v>34</v>
      </c>
      <c r="C96" s="86"/>
      <c r="D96" s="88"/>
      <c r="E96" s="88">
        <f t="shared" ref="E96:F96" si="39">E95/D95</f>
        <v>0.3892529325</v>
      </c>
      <c r="F96" s="88">
        <f t="shared" si="39"/>
        <v>0.1429767588</v>
      </c>
      <c r="G96" s="88">
        <f>G95/E95</f>
        <v>0.8570232412</v>
      </c>
      <c r="H96" s="88">
        <f>H95/D95</f>
        <v>0.4346888436</v>
      </c>
      <c r="I96" s="88">
        <f>I95/H95</f>
        <v>0.5751287536</v>
      </c>
      <c r="J96" s="88">
        <f>J95/H95</f>
        <v>0.4248712464</v>
      </c>
      <c r="K96" s="88">
        <f>K95/D95</f>
        <v>0.1760582239</v>
      </c>
      <c r="L96" s="88"/>
      <c r="M96" s="86"/>
      <c r="N96" s="88">
        <f>E96+H96+K96</f>
        <v>1</v>
      </c>
    </row>
    <row r="97" ht="15.75" customHeight="1"/>
    <row r="98" ht="15.75" customHeight="1">
      <c r="A98" s="84">
        <v>43691.0</v>
      </c>
      <c r="B98" s="85" t="s">
        <v>33</v>
      </c>
      <c r="D98" s="89">
        <v>10000.0</v>
      </c>
      <c r="E98" s="89">
        <v>5000.0</v>
      </c>
      <c r="F98" s="89">
        <v>5000.0</v>
      </c>
      <c r="G98" s="89"/>
      <c r="H98" s="89">
        <v>5000.0</v>
      </c>
      <c r="I98" s="89">
        <v>5000.0</v>
      </c>
      <c r="J98" s="89"/>
      <c r="K98" s="89"/>
      <c r="L98" s="89"/>
      <c r="M98" s="89"/>
      <c r="N98" s="89"/>
    </row>
    <row r="99" ht="15.75" customHeight="1">
      <c r="A99" s="90" t="s">
        <v>37</v>
      </c>
      <c r="B99" s="85" t="s">
        <v>26</v>
      </c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</row>
    <row r="100" ht="15.75" customHeight="1">
      <c r="B100" s="85" t="s">
        <v>27</v>
      </c>
      <c r="D100" s="89">
        <v>-2500.0</v>
      </c>
      <c r="E100" s="89">
        <v>-1250.0</v>
      </c>
      <c r="F100" s="89">
        <f>E100*F96</f>
        <v>-178.7209485</v>
      </c>
      <c r="G100" s="89">
        <f>E100*G96</f>
        <v>-1071.279051</v>
      </c>
      <c r="H100" s="89">
        <v>-1250.0</v>
      </c>
      <c r="I100" s="89">
        <f>I96*H100</f>
        <v>-718.910942</v>
      </c>
      <c r="J100" s="89">
        <f>J96*H100</f>
        <v>-531.089058</v>
      </c>
      <c r="K100" s="89"/>
      <c r="L100" s="89"/>
      <c r="M100" s="89"/>
      <c r="N100" s="89"/>
    </row>
    <row r="101" ht="15.75" customHeight="1">
      <c r="B101" s="85" t="s">
        <v>38</v>
      </c>
      <c r="D101" s="89">
        <f>2000-440-29</f>
        <v>1531</v>
      </c>
      <c r="E101" s="89">
        <f>D101*((E95+E98+E99+E100)/(D89+D93+D98+D99+D100))</f>
        <v>723.7546964</v>
      </c>
      <c r="F101" s="89">
        <f>E101*F96</f>
        <v>103.4801007</v>
      </c>
      <c r="G101" s="89">
        <f>E101*G96</f>
        <v>620.2745957</v>
      </c>
      <c r="H101" s="89">
        <f>D101*((H95+H98+H99+H100)/(D89+D93+D98+D99+D100))</f>
        <v>807.2453036</v>
      </c>
      <c r="I101" s="89">
        <f>I96*H101</f>
        <v>464.2699853</v>
      </c>
      <c r="J101" s="89">
        <f>H101*J96</f>
        <v>342.9753183</v>
      </c>
      <c r="K101" s="89"/>
      <c r="L101" s="89"/>
      <c r="M101" s="89"/>
      <c r="N101" s="89">
        <f>E101+H101</f>
        <v>1531</v>
      </c>
    </row>
    <row r="102" ht="15.75" customHeight="1">
      <c r="B102" s="85" t="s">
        <v>36</v>
      </c>
      <c r="D102" s="89">
        <v>-2440.0</v>
      </c>
      <c r="E102" s="89"/>
      <c r="F102" s="89"/>
      <c r="G102" s="89"/>
      <c r="H102" s="89">
        <v>-2440.0</v>
      </c>
      <c r="I102" s="89">
        <v>-2440.0</v>
      </c>
      <c r="J102" s="89"/>
      <c r="K102" s="89"/>
      <c r="L102" s="89"/>
      <c r="M102" s="89"/>
      <c r="N102" s="89"/>
    </row>
    <row r="103" ht="15.75" customHeight="1"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</row>
    <row r="104" ht="15.75" customHeight="1">
      <c r="B104" s="85" t="s">
        <v>29</v>
      </c>
      <c r="D104" s="89">
        <f>D89+2500</f>
        <v>671693.86</v>
      </c>
      <c r="E104" s="89">
        <f>E89+1250</f>
        <v>320395.8212</v>
      </c>
      <c r="F104" s="89"/>
      <c r="G104" s="89"/>
      <c r="H104" s="89">
        <f>H89+1250</f>
        <v>351298.0388</v>
      </c>
      <c r="I104" s="89">
        <f>(H89*I96)-I100</f>
        <v>202041.6032</v>
      </c>
      <c r="J104" s="89">
        <f>(H89*J96)-J100</f>
        <v>149256.4356</v>
      </c>
      <c r="K104" s="89"/>
      <c r="L104" s="89"/>
      <c r="M104" s="89"/>
      <c r="N104" s="89"/>
    </row>
    <row r="105" ht="15.75" customHeight="1">
      <c r="B105" s="85" t="s">
        <v>14</v>
      </c>
      <c r="E105" s="35">
        <f>E104/D104</f>
        <v>0.4769967991</v>
      </c>
      <c r="F105" s="35"/>
      <c r="G105" s="35"/>
      <c r="H105" s="35">
        <f>H104/D104</f>
        <v>0.5230032009</v>
      </c>
    </row>
    <row r="106" ht="15.75" customHeight="1">
      <c r="B106" s="85" t="s">
        <v>30</v>
      </c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</row>
    <row r="107" ht="15.75" customHeight="1">
      <c r="B107" s="85" t="s">
        <v>31</v>
      </c>
      <c r="D107" s="89">
        <v>142992.0</v>
      </c>
      <c r="E107" s="89"/>
      <c r="F107" s="89"/>
      <c r="G107" s="89"/>
      <c r="H107" s="89"/>
      <c r="I107" s="89"/>
      <c r="J107" s="89"/>
      <c r="K107" s="89"/>
      <c r="L107" s="89"/>
      <c r="M107" s="89"/>
      <c r="N107" s="89"/>
    </row>
    <row r="108" ht="15.75" customHeight="1">
      <c r="B108" s="85" t="s">
        <v>32</v>
      </c>
      <c r="D108" s="89">
        <f>D93+D98+D100+D101+D102</f>
        <v>6591</v>
      </c>
      <c r="E108" s="89">
        <f>E93+E98+E100+E101</f>
        <v>1473.661249</v>
      </c>
      <c r="F108" s="89">
        <f>E108*F96</f>
        <v>210.699309</v>
      </c>
      <c r="G108" s="89">
        <f>G96*E108</f>
        <v>1262.96194</v>
      </c>
      <c r="H108" s="89">
        <f>H93+H98+H100+H101+H102</f>
        <v>5117.338751</v>
      </c>
      <c r="I108" s="89">
        <f>(H93*I96)+I98+I100+I101+I102</f>
        <v>4030.799048</v>
      </c>
      <c r="J108" s="89">
        <f>(H93*J96)+J100+J101</f>
        <v>1086.539703</v>
      </c>
      <c r="K108" s="89"/>
      <c r="L108" s="89"/>
      <c r="M108" s="89"/>
      <c r="N108" s="89">
        <f>F108+G108+I108+J108</f>
        <v>6591</v>
      </c>
    </row>
    <row r="109" ht="15.75" customHeight="1">
      <c r="B109" s="85" t="s">
        <v>25</v>
      </c>
      <c r="F109" s="35">
        <f>F108/E108</f>
        <v>0.1429767588</v>
      </c>
      <c r="G109" s="35">
        <f>G108/E108</f>
        <v>0.8570232412</v>
      </c>
    </row>
    <row r="110" ht="15.75" customHeight="1">
      <c r="A110" s="86"/>
      <c r="B110" s="86" t="s">
        <v>16</v>
      </c>
      <c r="C110" s="86"/>
      <c r="D110" s="87">
        <f>D104+D107+D108</f>
        <v>821276.86</v>
      </c>
      <c r="E110" s="87">
        <f>E104+E108</f>
        <v>321869.4824</v>
      </c>
      <c r="F110" s="87">
        <f>E110*F96</f>
        <v>46019.85536</v>
      </c>
      <c r="G110" s="87">
        <f>E110*G96</f>
        <v>275849.6271</v>
      </c>
      <c r="H110" s="87">
        <f>H104+H108</f>
        <v>356415.3776</v>
      </c>
      <c r="I110" s="87">
        <f>I104+I108-(2440*3)</f>
        <v>198752.4022</v>
      </c>
      <c r="J110" s="87">
        <f>(J104+J108)+(2440*3)</f>
        <v>157662.9753</v>
      </c>
      <c r="K110" s="87">
        <f>L95</f>
        <v>142992</v>
      </c>
      <c r="L110" s="87">
        <f>L95</f>
        <v>142992</v>
      </c>
      <c r="M110" s="86"/>
      <c r="N110" s="87">
        <f>F110+G110+I110+J110+L110</f>
        <v>821276.86</v>
      </c>
    </row>
    <row r="111" ht="15.75" customHeight="1">
      <c r="A111" s="86"/>
      <c r="B111" s="86" t="s">
        <v>34</v>
      </c>
      <c r="C111" s="86"/>
      <c r="D111" s="86"/>
      <c r="E111" s="88">
        <f t="shared" ref="E111:F111" si="40">E110/D110</f>
        <v>0.3919134924</v>
      </c>
      <c r="F111" s="88">
        <f t="shared" si="40"/>
        <v>0.1429767588</v>
      </c>
      <c r="G111" s="88">
        <f>G110/E110</f>
        <v>0.8570232412</v>
      </c>
      <c r="H111" s="88">
        <f>H110/D110</f>
        <v>0.4339771336</v>
      </c>
      <c r="I111" s="88">
        <f>I110/H110</f>
        <v>0.5576426124</v>
      </c>
      <c r="J111" s="88">
        <f>J110/H110</f>
        <v>0.4423573876</v>
      </c>
      <c r="K111" s="88">
        <f>K110/D110</f>
        <v>0.174109374</v>
      </c>
      <c r="L111" s="86"/>
      <c r="M111" s="86"/>
      <c r="N111" s="88">
        <f>E111+H111+K111</f>
        <v>1</v>
      </c>
    </row>
    <row r="112" ht="15.75" customHeight="1"/>
    <row r="113" ht="15.75" customHeight="1">
      <c r="A113" s="84">
        <v>43739.0</v>
      </c>
      <c r="B113" s="85" t="s">
        <v>33</v>
      </c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</row>
    <row r="114" ht="15.75" customHeight="1">
      <c r="B114" s="85" t="s">
        <v>26</v>
      </c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</row>
    <row r="115" ht="15.75" customHeight="1">
      <c r="B115" s="85" t="s">
        <v>27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</row>
    <row r="116" ht="15.75" customHeight="1">
      <c r="B116" s="85" t="s">
        <v>28</v>
      </c>
      <c r="D116" s="89">
        <f>-440-250</f>
        <v>-690</v>
      </c>
      <c r="E116" s="89">
        <f>D116*((E110)/(D104+D108))</f>
        <v>-327.4287191</v>
      </c>
      <c r="F116" s="89">
        <f>E116*F111</f>
        <v>-46.814697</v>
      </c>
      <c r="G116" s="89">
        <f>E116*G111</f>
        <v>-280.6140221</v>
      </c>
      <c r="H116" s="89">
        <f>D116*((H110)/(D104+D108))</f>
        <v>-362.5712809</v>
      </c>
      <c r="I116" s="89">
        <f>H116*I111</f>
        <v>-202.1851963</v>
      </c>
      <c r="J116" s="89">
        <f>J111*H116</f>
        <v>-160.3860846</v>
      </c>
      <c r="K116" s="89"/>
      <c r="L116" s="89"/>
      <c r="M116" s="89"/>
      <c r="N116" s="89">
        <f>F116+G116+I116+J116</f>
        <v>-690</v>
      </c>
    </row>
    <row r="117" ht="15.75" customHeight="1"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</row>
    <row r="118" ht="15.75" customHeight="1">
      <c r="B118" s="85" t="s">
        <v>29</v>
      </c>
      <c r="D118" s="89">
        <f t="shared" ref="D118:E118" si="41">D104</f>
        <v>671693.86</v>
      </c>
      <c r="E118" s="89">
        <f t="shared" si="41"/>
        <v>320395.8212</v>
      </c>
      <c r="F118" s="89">
        <f>E118*F111</f>
        <v>45809.15605</v>
      </c>
      <c r="G118" s="89">
        <f>G111*E118</f>
        <v>274586.6651</v>
      </c>
      <c r="H118" s="89">
        <f>H104</f>
        <v>351298.0388</v>
      </c>
      <c r="I118" s="89">
        <f>H118*I111</f>
        <v>195898.7561</v>
      </c>
      <c r="J118" s="89">
        <f>H118*J111</f>
        <v>155399.2827</v>
      </c>
      <c r="K118" s="89"/>
      <c r="L118" s="89"/>
      <c r="M118" s="89"/>
      <c r="N118" s="89">
        <f>F118+G118+I118+J118</f>
        <v>671693.86</v>
      </c>
    </row>
    <row r="119" ht="15.75" customHeight="1">
      <c r="B119" s="85" t="s">
        <v>14</v>
      </c>
      <c r="D119" s="89"/>
      <c r="E119" s="35">
        <f>E118/$D$118</f>
        <v>0.4769967991</v>
      </c>
      <c r="F119" s="35">
        <f>F118/E118</f>
        <v>0.1429767588</v>
      </c>
      <c r="G119" s="35">
        <f>G118/E118</f>
        <v>0.8570232412</v>
      </c>
      <c r="H119" s="35">
        <f>H118/$D$118</f>
        <v>0.5230032009</v>
      </c>
      <c r="I119" s="35">
        <f>I118/H118</f>
        <v>0.5576426124</v>
      </c>
      <c r="J119" s="35">
        <f>J118/H118</f>
        <v>0.4423573876</v>
      </c>
      <c r="K119" s="89"/>
      <c r="L119" s="89"/>
      <c r="M119" s="89"/>
      <c r="N119" s="89"/>
    </row>
    <row r="120" ht="15.75" customHeight="1">
      <c r="B120" s="85" t="s">
        <v>30</v>
      </c>
      <c r="D120" s="89">
        <v>713363.12</v>
      </c>
      <c r="E120" s="89">
        <f t="shared" ref="E120:F120" si="42">D120*E119</f>
        <v>340271.9248</v>
      </c>
      <c r="F120" s="89">
        <f t="shared" si="42"/>
        <v>48650.97693</v>
      </c>
      <c r="G120" s="89">
        <f>E120*G119</f>
        <v>291620.9479</v>
      </c>
      <c r="H120" s="89">
        <f>D120*H119</f>
        <v>373091.1952</v>
      </c>
      <c r="I120" s="89">
        <f>H120*I119</f>
        <v>208051.5487</v>
      </c>
      <c r="J120" s="89">
        <f>H120*J119</f>
        <v>165039.6464</v>
      </c>
      <c r="K120" s="89"/>
      <c r="L120" s="89"/>
      <c r="M120" s="89"/>
      <c r="N120" s="89">
        <f>F120+G120+I120+J120</f>
        <v>713363.12</v>
      </c>
    </row>
    <row r="121" ht="15.75" customHeight="1">
      <c r="B121" s="85" t="s">
        <v>31</v>
      </c>
      <c r="D121" s="89">
        <v>142992.0</v>
      </c>
      <c r="E121" s="89"/>
      <c r="F121" s="89"/>
      <c r="G121" s="89"/>
      <c r="H121" s="89"/>
      <c r="I121" s="89"/>
      <c r="J121" s="89"/>
      <c r="K121" s="89">
        <v>142992.0</v>
      </c>
      <c r="L121" s="89">
        <v>142992.0</v>
      </c>
      <c r="M121" s="89"/>
      <c r="N121" s="89">
        <v>142992.0</v>
      </c>
    </row>
    <row r="122" ht="15.75" customHeight="1">
      <c r="B122" s="85" t="s">
        <v>32</v>
      </c>
      <c r="D122" s="89">
        <f t="shared" ref="D122:H122" si="43">D108+D116</f>
        <v>5901</v>
      </c>
      <c r="E122" s="89">
        <f t="shared" si="43"/>
        <v>1146.23253</v>
      </c>
      <c r="F122" s="89">
        <f t="shared" si="43"/>
        <v>163.884612</v>
      </c>
      <c r="G122" s="89">
        <f t="shared" si="43"/>
        <v>982.347918</v>
      </c>
      <c r="H122" s="89">
        <f t="shared" si="43"/>
        <v>4754.76747</v>
      </c>
      <c r="I122" s="89">
        <f>H122*I111</f>
        <v>2651.460953</v>
      </c>
      <c r="J122" s="89">
        <f>H122*J111</f>
        <v>2103.306517</v>
      </c>
      <c r="K122" s="89"/>
      <c r="L122" s="89"/>
      <c r="M122" s="89"/>
      <c r="N122" s="89">
        <f>F122+G122+I122+J122</f>
        <v>5901</v>
      </c>
    </row>
    <row r="123" ht="15.75" customHeight="1">
      <c r="B123" s="85" t="s">
        <v>25</v>
      </c>
      <c r="E123" s="35">
        <f t="shared" ref="E123:F123" si="44">E122/D122</f>
        <v>0.1942437773</v>
      </c>
      <c r="F123" s="35">
        <f t="shared" si="44"/>
        <v>0.1429767588</v>
      </c>
      <c r="G123" s="35">
        <f>G122/E122</f>
        <v>0.8570232412</v>
      </c>
      <c r="H123" s="35">
        <f>H122/D122</f>
        <v>0.8057562227</v>
      </c>
      <c r="I123" s="35">
        <f>I122/H122</f>
        <v>0.5576426124</v>
      </c>
      <c r="J123" s="35">
        <f>J122/H122</f>
        <v>0.4423573876</v>
      </c>
    </row>
    <row r="124" ht="15.75" customHeight="1">
      <c r="A124" s="86"/>
      <c r="B124" s="86" t="s">
        <v>16</v>
      </c>
      <c r="C124" s="86"/>
      <c r="D124" s="87">
        <f t="shared" ref="D124:L124" si="45">D120+D121+D122</f>
        <v>862256.12</v>
      </c>
      <c r="E124" s="87">
        <f t="shared" si="45"/>
        <v>341418.1574</v>
      </c>
      <c r="F124" s="87">
        <f t="shared" si="45"/>
        <v>48814.86154</v>
      </c>
      <c r="G124" s="87">
        <f t="shared" si="45"/>
        <v>292603.2958</v>
      </c>
      <c r="H124" s="87">
        <f t="shared" si="45"/>
        <v>377845.9626</v>
      </c>
      <c r="I124" s="87">
        <f t="shared" si="45"/>
        <v>210703.0097</v>
      </c>
      <c r="J124" s="87">
        <f t="shared" si="45"/>
        <v>167142.9529</v>
      </c>
      <c r="K124" s="87">
        <f t="shared" si="45"/>
        <v>142992</v>
      </c>
      <c r="L124" s="87">
        <f t="shared" si="45"/>
        <v>142992</v>
      </c>
      <c r="M124" s="87"/>
      <c r="N124" s="87">
        <f>N120+N121+N122</f>
        <v>862256.12</v>
      </c>
    </row>
    <row r="125" ht="15.75" customHeight="1">
      <c r="A125" s="86"/>
      <c r="B125" s="86" t="s">
        <v>34</v>
      </c>
      <c r="C125" s="86"/>
      <c r="D125" s="86"/>
      <c r="E125" s="88">
        <f t="shared" ref="E125:F125" si="46">E124/D124</f>
        <v>0.3959591001</v>
      </c>
      <c r="F125" s="88">
        <f t="shared" si="46"/>
        <v>0.1429767588</v>
      </c>
      <c r="G125" s="88">
        <f>G124/E124</f>
        <v>0.8570232412</v>
      </c>
      <c r="H125" s="88">
        <f>H124/D124</f>
        <v>0.4382061825</v>
      </c>
      <c r="I125" s="88">
        <f>I124/H124</f>
        <v>0.5576426124</v>
      </c>
      <c r="J125" s="88">
        <f>J124/H124</f>
        <v>0.4423573876</v>
      </c>
      <c r="K125" s="88">
        <f>K124/D124</f>
        <v>0.1658347174</v>
      </c>
      <c r="L125" s="88">
        <f>L124/K124</f>
        <v>1</v>
      </c>
      <c r="M125" s="86"/>
      <c r="N125" s="86"/>
    </row>
    <row r="126" ht="15.75" customHeight="1">
      <c r="A126" s="91" t="s">
        <v>39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ht="15.75" customHeight="1">
      <c r="A127" s="93">
        <v>43926.0</v>
      </c>
      <c r="B127" s="85" t="s">
        <v>33</v>
      </c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</row>
    <row r="128" ht="15.75" customHeight="1">
      <c r="B128" s="85" t="s">
        <v>26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</row>
    <row r="129" ht="15.75" customHeight="1">
      <c r="B129" s="85" t="s">
        <v>27</v>
      </c>
      <c r="D129" s="71"/>
      <c r="E129" s="71"/>
      <c r="F129" s="94"/>
      <c r="G129" s="94"/>
      <c r="H129" s="71"/>
      <c r="I129" s="71"/>
      <c r="J129" s="71"/>
      <c r="K129" s="71"/>
      <c r="L129" s="71"/>
      <c r="M129" s="71"/>
      <c r="N129" s="71"/>
    </row>
    <row r="130" ht="15.75" customHeight="1">
      <c r="B130" s="85" t="s">
        <v>28</v>
      </c>
      <c r="D130" s="89">
        <f>-440-220</f>
        <v>-660</v>
      </c>
      <c r="E130" s="89">
        <f>D130*((E124)/(D120+D122))</f>
        <v>-313.2868408</v>
      </c>
      <c r="F130" s="89">
        <f>E130*F125</f>
        <v>-44.79273708</v>
      </c>
      <c r="G130" s="89">
        <f>E130*G125</f>
        <v>-268.4941037</v>
      </c>
      <c r="H130" s="89">
        <f>D130*((H124)/(D120+D122))</f>
        <v>-346.7131592</v>
      </c>
      <c r="I130" s="89">
        <f>H130*I125</f>
        <v>-193.3420318</v>
      </c>
      <c r="J130" s="89">
        <f>J125*H130</f>
        <v>-153.3711273</v>
      </c>
      <c r="K130" s="89"/>
      <c r="L130" s="89"/>
      <c r="M130" s="89"/>
      <c r="N130" s="89">
        <f>F130+G130+I130+J130</f>
        <v>-660</v>
      </c>
    </row>
    <row r="131" ht="15.75" customHeight="1"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</row>
    <row r="132" ht="15.75" customHeight="1">
      <c r="B132" s="85" t="s">
        <v>29</v>
      </c>
      <c r="D132" s="95">
        <v>713363.12</v>
      </c>
      <c r="E132" s="89">
        <f>E120</f>
        <v>340271.9248</v>
      </c>
      <c r="F132" s="89">
        <f>E132*F125</f>
        <v>48650.97693</v>
      </c>
      <c r="G132" s="89">
        <f>G125*E132</f>
        <v>291620.9479</v>
      </c>
      <c r="H132" s="89">
        <f>H120</f>
        <v>373091.1952</v>
      </c>
      <c r="I132" s="89">
        <f>H132*I125</f>
        <v>208051.5487</v>
      </c>
      <c r="J132" s="89">
        <f>H132*J125</f>
        <v>165039.6464</v>
      </c>
      <c r="K132" s="89"/>
      <c r="L132" s="89"/>
      <c r="M132" s="89"/>
      <c r="N132" s="89">
        <f>F132+G132+I132+J132</f>
        <v>713363.12</v>
      </c>
    </row>
    <row r="133" ht="15.75" customHeight="1">
      <c r="B133" s="85" t="s">
        <v>14</v>
      </c>
      <c r="D133" s="89"/>
      <c r="E133" s="35">
        <f>E132/$D$118</f>
        <v>0.5065878149</v>
      </c>
      <c r="F133" s="35">
        <f>F132/E132</f>
        <v>0.1429767588</v>
      </c>
      <c r="G133" s="35">
        <f>G132/E132</f>
        <v>0.8570232412</v>
      </c>
      <c r="H133" s="35">
        <f>H132/$D$118</f>
        <v>0.555448274</v>
      </c>
      <c r="I133" s="35">
        <f>I132/H132</f>
        <v>0.5576426124</v>
      </c>
      <c r="J133" s="35">
        <f>J132/H132</f>
        <v>0.4423573876</v>
      </c>
      <c r="K133" s="89"/>
      <c r="L133" s="89"/>
      <c r="M133" s="89"/>
      <c r="N133" s="89"/>
    </row>
    <row r="134" ht="15.75" customHeight="1">
      <c r="B134" s="85" t="s">
        <v>30</v>
      </c>
      <c r="D134" s="95"/>
      <c r="E134" s="95"/>
      <c r="F134" s="95"/>
      <c r="G134" s="95"/>
      <c r="H134" s="95"/>
      <c r="I134" s="95"/>
      <c r="J134" s="95"/>
      <c r="K134" s="89"/>
      <c r="L134" s="89"/>
      <c r="M134" s="89"/>
      <c r="N134" s="89">
        <f>F134+G134+I134+J134</f>
        <v>0</v>
      </c>
    </row>
    <row r="135" ht="15.75" customHeight="1">
      <c r="B135" s="85" t="s">
        <v>31</v>
      </c>
      <c r="D135" s="89">
        <v>142992.0</v>
      </c>
      <c r="E135" s="89"/>
      <c r="F135" s="89"/>
      <c r="G135" s="89"/>
      <c r="H135" s="89"/>
      <c r="I135" s="89"/>
      <c r="J135" s="89"/>
      <c r="K135" s="89">
        <v>142992.0</v>
      </c>
      <c r="L135" s="89">
        <v>142992.0</v>
      </c>
      <c r="M135" s="89"/>
      <c r="N135" s="89">
        <v>142992.0</v>
      </c>
    </row>
    <row r="136" ht="15.75" customHeight="1">
      <c r="B136" s="85" t="s">
        <v>32</v>
      </c>
      <c r="D136" s="89">
        <f t="shared" ref="D136:H136" si="47">D122+D130</f>
        <v>5241</v>
      </c>
      <c r="E136" s="89">
        <f t="shared" si="47"/>
        <v>832.9456892</v>
      </c>
      <c r="F136" s="89">
        <f t="shared" si="47"/>
        <v>119.0918749</v>
      </c>
      <c r="G136" s="89">
        <f t="shared" si="47"/>
        <v>713.8538143</v>
      </c>
      <c r="H136" s="89">
        <f t="shared" si="47"/>
        <v>4408.054311</v>
      </c>
      <c r="I136" s="89">
        <f>H136*I125</f>
        <v>2458.118921</v>
      </c>
      <c r="J136" s="89">
        <f>H136*J125</f>
        <v>1949.935389</v>
      </c>
      <c r="K136" s="89"/>
      <c r="L136" s="89"/>
      <c r="M136" s="89"/>
      <c r="N136" s="89">
        <f>F136+G136+I136+J136</f>
        <v>5241</v>
      </c>
    </row>
    <row r="137" ht="15.75" customHeight="1">
      <c r="B137" s="85" t="s">
        <v>25</v>
      </c>
      <c r="E137" s="35">
        <f t="shared" ref="E137:F137" si="48">E136/D136</f>
        <v>0.1589287711</v>
      </c>
      <c r="F137" s="35">
        <f t="shared" si="48"/>
        <v>0.1429767588</v>
      </c>
      <c r="G137" s="35">
        <f>G136/E136</f>
        <v>0.8570232412</v>
      </c>
      <c r="H137" s="35">
        <f>H136/D136</f>
        <v>0.8410712289</v>
      </c>
      <c r="I137" s="35">
        <f>I136/H136</f>
        <v>0.5576426124</v>
      </c>
      <c r="J137" s="35">
        <f>J136/H136</f>
        <v>0.4423573876</v>
      </c>
    </row>
    <row r="138" ht="15.75" customHeight="1">
      <c r="A138" s="86"/>
      <c r="B138" s="86" t="s">
        <v>16</v>
      </c>
      <c r="C138" s="86"/>
      <c r="D138" s="87">
        <f t="shared" ref="D138:J138" si="49">D132+D135+D136</f>
        <v>861596.12</v>
      </c>
      <c r="E138" s="87">
        <f t="shared" si="49"/>
        <v>341104.8705</v>
      </c>
      <c r="F138" s="87">
        <f t="shared" si="49"/>
        <v>48770.0688</v>
      </c>
      <c r="G138" s="87">
        <f t="shared" si="49"/>
        <v>292334.8017</v>
      </c>
      <c r="H138" s="87">
        <f t="shared" si="49"/>
        <v>377499.2495</v>
      </c>
      <c r="I138" s="87">
        <f t="shared" si="49"/>
        <v>210509.6677</v>
      </c>
      <c r="J138" s="87">
        <f t="shared" si="49"/>
        <v>166989.5818</v>
      </c>
      <c r="K138" s="87">
        <f t="shared" ref="K138:L138" si="50">K134+K135+K136</f>
        <v>142992</v>
      </c>
      <c r="L138" s="87">
        <f t="shared" si="50"/>
        <v>142992</v>
      </c>
      <c r="M138" s="87"/>
      <c r="N138" s="87">
        <f>N134+N135+N136</f>
        <v>148233</v>
      </c>
    </row>
    <row r="139" ht="15.75" customHeight="1">
      <c r="A139" s="86"/>
      <c r="B139" s="86" t="s">
        <v>34</v>
      </c>
      <c r="C139" s="86"/>
      <c r="D139" s="86"/>
      <c r="E139" s="88">
        <f t="shared" ref="E139:F139" si="51">E138/D138</f>
        <v>0.3958988006</v>
      </c>
      <c r="F139" s="88">
        <f t="shared" si="51"/>
        <v>0.1429767588</v>
      </c>
      <c r="G139" s="88">
        <f>G138/E138</f>
        <v>0.8570232412</v>
      </c>
      <c r="H139" s="88">
        <f>H138/D138</f>
        <v>0.4381394492</v>
      </c>
      <c r="I139" s="88">
        <f>I138/H138</f>
        <v>0.5576426124</v>
      </c>
      <c r="J139" s="88">
        <f>J138/H138</f>
        <v>0.4423573876</v>
      </c>
      <c r="K139" s="88">
        <f>K138/D138</f>
        <v>0.1659617502</v>
      </c>
      <c r="L139" s="88">
        <f>L138/K138</f>
        <v>1</v>
      </c>
      <c r="M139" s="86"/>
      <c r="N139" s="86"/>
    </row>
    <row r="140" ht="15.75" customHeight="1"/>
    <row r="141" ht="15.75" customHeight="1">
      <c r="A141" s="93">
        <v>44291.0</v>
      </c>
      <c r="B141" s="85" t="s">
        <v>33</v>
      </c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</row>
    <row r="142" ht="15.75" customHeight="1">
      <c r="A142" s="93" t="s">
        <v>40</v>
      </c>
      <c r="B142" s="85" t="s">
        <v>26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</row>
    <row r="143" ht="15.75" customHeight="1">
      <c r="B143" s="85" t="s">
        <v>27</v>
      </c>
      <c r="D143" s="96">
        <v>53300.0</v>
      </c>
      <c r="E143" s="97"/>
      <c r="F143" s="97"/>
      <c r="G143" s="97"/>
      <c r="H143" s="96">
        <v>53300.0</v>
      </c>
      <c r="I143" s="96">
        <v>53300.0</v>
      </c>
      <c r="J143" s="98"/>
      <c r="K143" s="71"/>
      <c r="L143" s="71"/>
      <c r="M143" s="71"/>
      <c r="N143" s="71"/>
    </row>
    <row r="144" ht="15.75" customHeight="1">
      <c r="B144" s="85" t="s">
        <v>28</v>
      </c>
      <c r="D144" s="99">
        <v>-1500.0</v>
      </c>
      <c r="E144" s="89">
        <f>D144*((E138)/(D132+D136))</f>
        <v>-712.0155473</v>
      </c>
      <c r="F144" s="89">
        <f>E144*F139</f>
        <v>-101.8016752</v>
      </c>
      <c r="G144" s="89">
        <f>E144*G139</f>
        <v>-610.2138721</v>
      </c>
      <c r="H144" s="89">
        <f>D144*((H138)/(D132+D136))</f>
        <v>-787.9844527</v>
      </c>
      <c r="I144" s="89">
        <f>H144*I139</f>
        <v>-439.4137087</v>
      </c>
      <c r="J144" s="89">
        <f>H144*J139</f>
        <v>-348.570744</v>
      </c>
      <c r="K144" s="89"/>
      <c r="L144" s="89"/>
      <c r="M144" s="89"/>
      <c r="N144" s="89">
        <f>F144+G144+I144+J144</f>
        <v>-1500</v>
      </c>
    </row>
    <row r="145" ht="15.75" customHeight="1">
      <c r="B145" s="100" t="s">
        <v>36</v>
      </c>
      <c r="D145" s="99">
        <v>-53244.96</v>
      </c>
      <c r="E145" s="89"/>
      <c r="F145" s="89"/>
      <c r="G145" s="89"/>
      <c r="H145" s="99">
        <v>-53244.96</v>
      </c>
      <c r="I145" s="99">
        <v>-53244.96</v>
      </c>
      <c r="J145" s="95"/>
      <c r="K145" s="89"/>
      <c r="L145" s="89"/>
      <c r="M145" s="89"/>
      <c r="N145" s="89"/>
    </row>
    <row r="146" ht="15.75" customHeight="1">
      <c r="D146" s="99"/>
    </row>
    <row r="147" ht="15.75" customHeight="1"/>
    <row r="148" ht="15.75" customHeight="1">
      <c r="B148" t="s">
        <v>29</v>
      </c>
      <c r="D148" s="89">
        <f>D132-D143</f>
        <v>660063.12</v>
      </c>
      <c r="E148" s="89">
        <f>E132+E143</f>
        <v>340271.9248</v>
      </c>
      <c r="F148" s="89">
        <f>E148*F139</f>
        <v>48650.97693</v>
      </c>
      <c r="G148" s="89">
        <f>G139*E148</f>
        <v>291620.9479</v>
      </c>
      <c r="H148" s="89">
        <f t="shared" ref="H148:J148" si="52">H132-H143</f>
        <v>319791.1952</v>
      </c>
      <c r="I148" s="89">
        <f t="shared" si="52"/>
        <v>154751.5487</v>
      </c>
      <c r="J148" s="89">
        <f t="shared" si="52"/>
        <v>165039.6464</v>
      </c>
      <c r="K148" s="95"/>
      <c r="L148" s="95"/>
      <c r="M148" s="95"/>
      <c r="N148" s="89">
        <f>F148+G148+I148+J148</f>
        <v>660063.12</v>
      </c>
    </row>
    <row r="149" ht="15.75" customHeight="1">
      <c r="B149" t="s">
        <v>14</v>
      </c>
      <c r="D149" s="95"/>
      <c r="E149" s="35">
        <f>E148/$D$148</f>
        <v>0.5155142206</v>
      </c>
      <c r="F149" s="35">
        <f>F148/E148</f>
        <v>0.1429767588</v>
      </c>
      <c r="G149" s="35">
        <f>G148/E148</f>
        <v>0.8570232412</v>
      </c>
      <c r="H149" s="35">
        <f>H148/$D$148</f>
        <v>0.4844857794</v>
      </c>
      <c r="I149" s="35">
        <f>I148/H148</f>
        <v>0.4839143512</v>
      </c>
      <c r="J149" s="35">
        <f>J148/H148</f>
        <v>0.5160856488</v>
      </c>
      <c r="K149" s="95"/>
      <c r="L149" s="95"/>
      <c r="M149" s="95"/>
      <c r="N149" s="95"/>
    </row>
    <row r="150" ht="15.75" customHeight="1">
      <c r="B150" t="s">
        <v>30</v>
      </c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89">
        <f>F150+G150+I150+J150</f>
        <v>0</v>
      </c>
    </row>
    <row r="151" ht="15.75" customHeight="1">
      <c r="B151" t="s">
        <v>31</v>
      </c>
      <c r="D151" s="89">
        <v>142992.0</v>
      </c>
      <c r="E151" s="95"/>
      <c r="F151" s="95"/>
      <c r="G151" s="95"/>
      <c r="H151" s="95"/>
      <c r="I151" s="95"/>
      <c r="J151" s="95"/>
      <c r="K151" s="89">
        <v>142992.0</v>
      </c>
      <c r="L151" s="89">
        <v>142992.0</v>
      </c>
      <c r="M151" s="89"/>
      <c r="N151" s="89">
        <v>142992.0</v>
      </c>
    </row>
    <row r="152" ht="15.75" customHeight="1">
      <c r="B152" t="s">
        <v>32</v>
      </c>
      <c r="D152" s="89">
        <f>D136+D144+D143+D145</f>
        <v>3796.04</v>
      </c>
      <c r="E152" s="89">
        <f t="shared" ref="E152:G152" si="53">E136+E144</f>
        <v>120.9301419</v>
      </c>
      <c r="F152" s="89">
        <f t="shared" si="53"/>
        <v>17.29019974</v>
      </c>
      <c r="G152" s="89">
        <f t="shared" si="53"/>
        <v>103.6399422</v>
      </c>
      <c r="H152" s="89">
        <f>H136+H144+H145+H143</f>
        <v>3675.109858</v>
      </c>
      <c r="I152" s="89">
        <f>I136+I143+I144+I145</f>
        <v>2073.745213</v>
      </c>
      <c r="J152" s="89">
        <f>J136+J144</f>
        <v>1601.364645</v>
      </c>
      <c r="K152" s="95"/>
      <c r="L152" s="95"/>
      <c r="M152" s="95"/>
      <c r="N152" s="89">
        <f>F152+G152+I152+J152</f>
        <v>3796.04</v>
      </c>
    </row>
    <row r="153" ht="15.75" customHeight="1">
      <c r="B153" t="s">
        <v>25</v>
      </c>
      <c r="E153" s="35">
        <f t="shared" ref="E153:F153" si="54">E152/D152</f>
        <v>0.03185691982</v>
      </c>
      <c r="F153" s="35">
        <f t="shared" si="54"/>
        <v>0.1429767588</v>
      </c>
      <c r="G153" s="35">
        <f>G152/E152</f>
        <v>0.8570232412</v>
      </c>
      <c r="H153" s="35">
        <f>H152/D152</f>
        <v>0.9681430802</v>
      </c>
      <c r="I153" s="35">
        <f>I152/H152</f>
        <v>0.5642675438</v>
      </c>
      <c r="J153" s="35">
        <f>J152/H152</f>
        <v>0.4357324562</v>
      </c>
    </row>
    <row r="154" ht="15.75" customHeight="1">
      <c r="A154" s="86"/>
      <c r="B154" s="86" t="s">
        <v>16</v>
      </c>
      <c r="C154" s="86"/>
      <c r="D154" s="87">
        <f t="shared" ref="D154:H154" si="55">D148+D151+D152</f>
        <v>806851.16</v>
      </c>
      <c r="E154" s="87">
        <f t="shared" si="55"/>
        <v>340392.855</v>
      </c>
      <c r="F154" s="87">
        <f t="shared" si="55"/>
        <v>48668.26713</v>
      </c>
      <c r="G154" s="87">
        <f t="shared" si="55"/>
        <v>291724.5878</v>
      </c>
      <c r="H154" s="87">
        <f t="shared" si="55"/>
        <v>323466.305</v>
      </c>
      <c r="I154" s="87">
        <f>I148+I151+I152-(-I145*3)</f>
        <v>-2909.586047</v>
      </c>
      <c r="J154" s="87">
        <f>J148+J151+J152+(-H145*3)</f>
        <v>326375.8911</v>
      </c>
      <c r="K154" s="87">
        <f t="shared" ref="K154:L154" si="56">K150+K151+K152</f>
        <v>142992</v>
      </c>
      <c r="L154" s="87">
        <f t="shared" si="56"/>
        <v>142992</v>
      </c>
      <c r="M154" s="87"/>
      <c r="N154" s="87">
        <f>N150+N151+N152</f>
        <v>146788.04</v>
      </c>
    </row>
    <row r="155" ht="15.75" customHeight="1">
      <c r="A155" s="86"/>
      <c r="B155" s="86" t="s">
        <v>34</v>
      </c>
      <c r="C155" s="86"/>
      <c r="D155" s="86"/>
      <c r="E155" s="88">
        <f t="shared" ref="E155:F155" si="57">E154/D154</f>
        <v>0.4218781255</v>
      </c>
      <c r="F155" s="88">
        <f t="shared" si="57"/>
        <v>0.1429767588</v>
      </c>
      <c r="G155" s="88">
        <f>G154/E154</f>
        <v>0.8570232412</v>
      </c>
      <c r="H155" s="88">
        <f>H154/D154</f>
        <v>0.4008995972</v>
      </c>
      <c r="I155" s="88">
        <f>I154/H154</f>
        <v>-0.008995020508</v>
      </c>
      <c r="J155" s="88">
        <f>J154/H154</f>
        <v>1.008995021</v>
      </c>
      <c r="K155" s="88">
        <f>K154/D154</f>
        <v>0.1772222773</v>
      </c>
      <c r="L155" s="88">
        <f>L154/K154</f>
        <v>1</v>
      </c>
      <c r="M155" s="86"/>
      <c r="N155" s="86"/>
    </row>
    <row r="156" ht="15.75" customHeight="1"/>
    <row r="157" ht="15.75" customHeight="1">
      <c r="A157" s="101">
        <v>44291.0</v>
      </c>
      <c r="B157" s="85" t="s">
        <v>33</v>
      </c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</row>
    <row r="158" ht="15.75" customHeight="1">
      <c r="A158" s="102" t="s">
        <v>41</v>
      </c>
      <c r="B158" s="85" t="s">
        <v>26</v>
      </c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</row>
    <row r="159" ht="15.75" customHeight="1">
      <c r="B159" s="85" t="s">
        <v>27</v>
      </c>
      <c r="D159" s="103">
        <v>-341105.0</v>
      </c>
      <c r="E159" s="104">
        <f>D159*((E154)/(D148+D152))</f>
        <v>-174901.1112</v>
      </c>
      <c r="F159" s="104">
        <f>E159*F155</f>
        <v>-25006.794</v>
      </c>
      <c r="G159" s="104">
        <f>E159*G155</f>
        <v>-149894.3172</v>
      </c>
      <c r="H159" s="104">
        <f>D159*((H154)/(D148+D152))</f>
        <v>-166203.8888</v>
      </c>
      <c r="I159" s="97"/>
      <c r="J159" s="103">
        <v>-166203.89</v>
      </c>
      <c r="K159" s="71"/>
      <c r="L159" s="71"/>
      <c r="M159" s="71"/>
      <c r="N159" s="71"/>
    </row>
    <row r="160" ht="15.75" customHeight="1">
      <c r="B160" s="85" t="s">
        <v>28</v>
      </c>
      <c r="D160" s="99"/>
      <c r="E160" s="95"/>
      <c r="F160" s="95"/>
      <c r="G160" s="95"/>
      <c r="H160" s="95"/>
      <c r="I160" s="95"/>
      <c r="J160" s="95"/>
      <c r="K160" s="89"/>
      <c r="L160" s="89"/>
      <c r="M160" s="89"/>
      <c r="N160" s="89">
        <f>F160+G160+I160+J160</f>
        <v>0</v>
      </c>
    </row>
    <row r="161" ht="15.75" customHeight="1">
      <c r="B161" s="100" t="s">
        <v>36</v>
      </c>
      <c r="D161" s="105"/>
      <c r="E161" s="89"/>
      <c r="F161" s="89"/>
      <c r="G161" s="89"/>
      <c r="H161" s="89"/>
      <c r="I161" s="89"/>
      <c r="J161" s="89"/>
      <c r="K161" s="89"/>
      <c r="L161" s="89"/>
      <c r="M161" s="89"/>
      <c r="N161" s="89"/>
    </row>
    <row r="162" ht="15.75" customHeight="1">
      <c r="B162" s="100" t="s">
        <v>42</v>
      </c>
      <c r="D162" s="105">
        <v>-341781.08</v>
      </c>
      <c r="E162" s="105">
        <f>D162*((E154)/(D148+D152))</f>
        <v>-175247.7703</v>
      </c>
      <c r="F162" s="105">
        <f>E162*F155</f>
        <v>-25056.35819</v>
      </c>
      <c r="G162" s="105">
        <f>E162*G155</f>
        <v>-150191.4121</v>
      </c>
      <c r="H162" s="105">
        <f>D162*((H154)/(D148+D152))</f>
        <v>-166533.3097</v>
      </c>
      <c r="I162" s="99"/>
      <c r="J162" s="105">
        <f>H162*J155</f>
        <v>-168031.2802</v>
      </c>
    </row>
    <row r="163" ht="15.75" customHeight="1"/>
    <row r="164" ht="15.75" customHeight="1">
      <c r="B164" s="85" t="s">
        <v>29</v>
      </c>
      <c r="D164" s="89">
        <f t="shared" ref="D164:E164" si="58">D148+D159</f>
        <v>318958.12</v>
      </c>
      <c r="E164" s="89">
        <f t="shared" si="58"/>
        <v>165370.8136</v>
      </c>
      <c r="F164" s="89">
        <f>E164*F155</f>
        <v>23644.18293</v>
      </c>
      <c r="G164" s="89">
        <f>G155*E164</f>
        <v>141726.6307</v>
      </c>
      <c r="H164" s="105">
        <f>H148+H159</f>
        <v>153587.3064</v>
      </c>
      <c r="I164" s="95"/>
      <c r="J164" s="89">
        <f>H164</f>
        <v>153587.3064</v>
      </c>
      <c r="K164" s="89"/>
      <c r="L164" s="89"/>
      <c r="M164" s="89"/>
      <c r="N164" s="89">
        <f>F164+G164+I164+J164</f>
        <v>318958.12</v>
      </c>
    </row>
    <row r="165" ht="15.75" customHeight="1">
      <c r="B165" s="85" t="s">
        <v>14</v>
      </c>
      <c r="D165" s="89"/>
      <c r="E165" s="35">
        <f>E164/$D$164</f>
        <v>0.5184718721</v>
      </c>
      <c r="F165" s="35">
        <f>F164/E164</f>
        <v>0.1429767588</v>
      </c>
      <c r="G165" s="35">
        <f>G164/E164</f>
        <v>0.8570232412</v>
      </c>
      <c r="H165" s="35">
        <f>H164/$D$164</f>
        <v>0.4815281279</v>
      </c>
      <c r="I165" s="106"/>
      <c r="J165" s="107">
        <v>1.0</v>
      </c>
      <c r="K165" s="89"/>
      <c r="L165" s="89"/>
      <c r="M165" s="89"/>
      <c r="N165" s="89"/>
    </row>
    <row r="166" ht="15.75" customHeight="1">
      <c r="B166" s="85" t="s">
        <v>30</v>
      </c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>
        <f>F166+G166+I166+J166</f>
        <v>0</v>
      </c>
    </row>
    <row r="167" ht="15.75" customHeight="1">
      <c r="B167" s="85" t="s">
        <v>31</v>
      </c>
      <c r="D167" s="89">
        <v>142992.0</v>
      </c>
      <c r="E167" s="89"/>
      <c r="F167" s="89"/>
      <c r="G167" s="89"/>
      <c r="H167" s="89"/>
      <c r="I167" s="89"/>
      <c r="J167" s="89"/>
      <c r="K167" s="89">
        <v>142992.0</v>
      </c>
      <c r="L167" s="89">
        <v>142992.0</v>
      </c>
      <c r="M167" s="89"/>
      <c r="N167" s="89">
        <v>142992.0</v>
      </c>
    </row>
    <row r="168" ht="15.75" customHeight="1">
      <c r="B168" s="85" t="s">
        <v>32</v>
      </c>
      <c r="D168" s="89">
        <f>D152+(-D159)+D162</f>
        <v>3119.96</v>
      </c>
      <c r="E168" s="89">
        <f>E152+E160+E162-E159</f>
        <v>-225.7289316</v>
      </c>
      <c r="F168" s="89">
        <f>E168*F155</f>
        <v>-32.27399102</v>
      </c>
      <c r="G168" s="89">
        <f>E168*G155</f>
        <v>-193.4549406</v>
      </c>
      <c r="H168" s="89">
        <f>H152+H162-H159</f>
        <v>3345.688932</v>
      </c>
      <c r="I168" s="89">
        <f>I154</f>
        <v>-2909.586047</v>
      </c>
      <c r="J168" s="89">
        <f>H168-I168</f>
        <v>6255.274979</v>
      </c>
      <c r="K168" s="89"/>
      <c r="L168" s="89"/>
      <c r="M168" s="89"/>
      <c r="N168" s="89">
        <f>F168+G168+I168+J168</f>
        <v>3119.96</v>
      </c>
    </row>
    <row r="169" ht="15.75" customHeight="1">
      <c r="B169" s="85" t="s">
        <v>25</v>
      </c>
      <c r="E169" s="35">
        <f t="shared" ref="E169:F169" si="59">E168/D168</f>
        <v>-0.07234994412</v>
      </c>
      <c r="F169" s="35">
        <f t="shared" si="59"/>
        <v>0.1429767588</v>
      </c>
      <c r="G169" s="35">
        <f>G168/E168</f>
        <v>0.8570232412</v>
      </c>
      <c r="H169" s="35">
        <f>H168/D168</f>
        <v>1.072349944</v>
      </c>
      <c r="I169" s="35">
        <f>I168/H168</f>
        <v>-0.8696522919</v>
      </c>
      <c r="J169" s="35">
        <f>J168/H168</f>
        <v>1.869652292</v>
      </c>
    </row>
    <row r="170" ht="15.75" customHeight="1">
      <c r="A170" s="86"/>
      <c r="B170" s="86" t="s">
        <v>16</v>
      </c>
      <c r="C170" s="86"/>
      <c r="D170" s="87">
        <f t="shared" ref="D170:J170" si="60">D164+D167+D168</f>
        <v>465070.08</v>
      </c>
      <c r="E170" s="87">
        <f t="shared" si="60"/>
        <v>165145.0847</v>
      </c>
      <c r="F170" s="87">
        <f t="shared" si="60"/>
        <v>23611.90894</v>
      </c>
      <c r="G170" s="87">
        <f t="shared" si="60"/>
        <v>141533.1757</v>
      </c>
      <c r="H170" s="87">
        <f t="shared" si="60"/>
        <v>156932.9953</v>
      </c>
      <c r="I170" s="87">
        <f t="shared" si="60"/>
        <v>-2909.586047</v>
      </c>
      <c r="J170" s="87">
        <f t="shared" si="60"/>
        <v>159842.5814</v>
      </c>
      <c r="K170" s="87">
        <f t="shared" ref="K170:L170" si="61">K166+K167+K168</f>
        <v>142992</v>
      </c>
      <c r="L170" s="87">
        <f t="shared" si="61"/>
        <v>142992</v>
      </c>
      <c r="M170" s="87"/>
      <c r="N170" s="87">
        <f>N166+N167+N168</f>
        <v>146111.96</v>
      </c>
    </row>
    <row r="171" ht="15.75" customHeight="1">
      <c r="A171" s="86"/>
      <c r="B171" s="86" t="s">
        <v>34</v>
      </c>
      <c r="C171" s="86"/>
      <c r="D171" s="86"/>
      <c r="E171" s="88">
        <f t="shared" ref="E171:F171" si="62">E170/D170</f>
        <v>0.3550972031</v>
      </c>
      <c r="F171" s="88">
        <f t="shared" si="62"/>
        <v>0.1429767588</v>
      </c>
      <c r="G171" s="88">
        <f>G170/E170</f>
        <v>0.8570232412</v>
      </c>
      <c r="H171" s="88">
        <f>H170/D170</f>
        <v>0.3374394572</v>
      </c>
      <c r="I171" s="88">
        <f>I170/H170</f>
        <v>-0.01854030786</v>
      </c>
      <c r="J171" s="88">
        <f>J170/H170</f>
        <v>1.018540308</v>
      </c>
      <c r="K171" s="88">
        <f>K170/D170</f>
        <v>0.3074633397</v>
      </c>
      <c r="L171" s="88">
        <f>L170/K170</f>
        <v>1</v>
      </c>
      <c r="M171" s="86"/>
      <c r="N171" s="86"/>
    </row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E2:G2"/>
    <mergeCell ref="I2:J2"/>
    <mergeCell ref="L2:M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2018-11-28T21:00:08Z</dcterms:created>
  <dc:creator>Tony</dc:creator>
</cp:coreProperties>
</file>