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MC 27-10-09\Moorfield Management Consultancy Ltd\MMC SSAS\"/>
    </mc:Choice>
  </mc:AlternateContent>
  <bookViews>
    <workbookView xWindow="10020" yWindow="15" windowWidth="19035" windowHeight="9720" tabRatio="688"/>
  </bookViews>
  <sheets>
    <sheet name="Pension Funds" sheetId="1" r:id="rId1"/>
    <sheet name="Receipts &amp; Payments 2020" sheetId="15" r:id="rId2"/>
    <sheet name="Receipts &amp; Payments 2019" sheetId="13" r:id="rId3"/>
    <sheet name="Receipts And Payements 2018" sheetId="11" r:id="rId4"/>
    <sheet name="Receipts and payments 2017" sheetId="9" r:id="rId5"/>
    <sheet name="Receipts &amp; Payments 2016" sheetId="7" r:id="rId6"/>
    <sheet name="Receipts &amp; Payments 2015" sheetId="5" r:id="rId7"/>
    <sheet name="Contribution History" sheetId="3" r:id="rId8"/>
    <sheet name="Share costs 5-4-15" sheetId="4" r:id="rId9"/>
    <sheet name="Share value 5-4-15" sheetId="6" r:id="rId10"/>
    <sheet name="Share value 5-4-16" sheetId="8" r:id="rId11"/>
    <sheet name="Share account 5-4-17" sheetId="10" r:id="rId12"/>
    <sheet name="Share Account 5-4-18" sheetId="12" r:id="rId13"/>
  </sheets>
  <definedNames>
    <definedName name="_xlnm.Print_Area" localSheetId="0">'Pension Funds'!$A$1:$S$92</definedName>
  </definedNames>
  <calcPr calcId="152511"/>
</workbook>
</file>

<file path=xl/calcChain.xml><?xml version="1.0" encoding="utf-8"?>
<calcChain xmlns="http://schemas.openxmlformats.org/spreadsheetml/2006/main">
  <c r="F49" i="1" l="1"/>
  <c r="G83" i="1"/>
  <c r="E71" i="1"/>
  <c r="F61" i="1"/>
  <c r="F44" i="1"/>
  <c r="E37" i="1"/>
  <c r="E35" i="1"/>
  <c r="E34" i="1"/>
  <c r="E32" i="1"/>
  <c r="F37" i="1" s="1"/>
  <c r="F27" i="1"/>
  <c r="F28" i="1" s="1"/>
  <c r="F22" i="1"/>
  <c r="F17" i="1"/>
  <c r="F16" i="1"/>
  <c r="F11" i="1"/>
  <c r="F19" i="1" s="1"/>
  <c r="E76" i="1" l="1"/>
  <c r="G76" i="1" s="1"/>
  <c r="G91" i="1"/>
  <c r="G30" i="1"/>
  <c r="G90" i="1"/>
  <c r="G92" i="1" s="1"/>
  <c r="F71" i="1"/>
  <c r="G71" i="1" s="1"/>
  <c r="O16" i="15"/>
  <c r="O17" i="15"/>
  <c r="O10" i="15" l="1"/>
  <c r="O9" i="15"/>
  <c r="J57" i="1"/>
  <c r="J43" i="1" l="1"/>
  <c r="J42" i="1"/>
  <c r="J27" i="1" l="1"/>
  <c r="I19" i="15" l="1"/>
  <c r="J61" i="1"/>
  <c r="J40" i="1" l="1"/>
  <c r="J14" i="1"/>
  <c r="J19" i="1" s="1"/>
  <c r="K90" i="1" s="1"/>
  <c r="I34" i="1"/>
  <c r="I32" i="1"/>
  <c r="J22" i="1"/>
  <c r="J28" i="1" s="1"/>
  <c r="G13" i="15"/>
  <c r="D12" i="15"/>
  <c r="D19" i="15"/>
  <c r="I34" i="15"/>
  <c r="I35" i="1" s="1"/>
  <c r="C34" i="15"/>
  <c r="K34" i="15"/>
  <c r="G19" i="15"/>
  <c r="T3" i="3"/>
  <c r="C16" i="3"/>
  <c r="D2" i="3"/>
  <c r="D10" i="3" s="1"/>
  <c r="D12" i="3" s="1"/>
  <c r="E11" i="3"/>
  <c r="T11" i="3" s="1"/>
  <c r="W10" i="3" s="1"/>
  <c r="W23" i="3" s="1"/>
  <c r="F2" i="3"/>
  <c r="F10" i="3" s="1"/>
  <c r="F12" i="3" s="1"/>
  <c r="C7" i="3"/>
  <c r="D4" i="3"/>
  <c r="D23" i="3"/>
  <c r="Q5" i="15"/>
  <c r="O5" i="15"/>
  <c r="O20" i="15" s="1"/>
  <c r="D34" i="15"/>
  <c r="E34" i="15"/>
  <c r="F34" i="15"/>
  <c r="I37" i="1" s="1"/>
  <c r="G34" i="15"/>
  <c r="H34" i="15"/>
  <c r="J34" i="15"/>
  <c r="C19" i="15"/>
  <c r="E19" i="15"/>
  <c r="F19" i="15"/>
  <c r="H19" i="15"/>
  <c r="J19" i="15"/>
  <c r="Q7" i="15"/>
  <c r="Q11" i="15" s="1"/>
  <c r="Q14" i="15" s="1"/>
  <c r="Q10" i="15"/>
  <c r="R6" i="15"/>
  <c r="R8" i="15"/>
  <c r="J11" i="1"/>
  <c r="K83" i="1"/>
  <c r="J16" i="1"/>
  <c r="I71" i="1"/>
  <c r="J17" i="1"/>
  <c r="J44" i="1"/>
  <c r="N10" i="1"/>
  <c r="N11" i="1"/>
  <c r="N14" i="1"/>
  <c r="O9" i="13"/>
  <c r="C19" i="13"/>
  <c r="D15" i="13"/>
  <c r="D19" i="13"/>
  <c r="E19" i="13"/>
  <c r="F19" i="13"/>
  <c r="G19" i="13"/>
  <c r="H19" i="13"/>
  <c r="J19" i="13"/>
  <c r="L19" i="13"/>
  <c r="O7" i="13"/>
  <c r="Q8" i="13"/>
  <c r="O8" i="13"/>
  <c r="C34" i="13"/>
  <c r="D34" i="13"/>
  <c r="E34" i="13"/>
  <c r="F34" i="13"/>
  <c r="G34" i="13"/>
  <c r="H34" i="13"/>
  <c r="I34" i="13"/>
  <c r="J34" i="13"/>
  <c r="K34" i="13"/>
  <c r="L34" i="13"/>
  <c r="O10" i="13"/>
  <c r="O11" i="13"/>
  <c r="O14" i="13"/>
  <c r="O16" i="13"/>
  <c r="O17" i="13"/>
  <c r="O18" i="13"/>
  <c r="Q7" i="13"/>
  <c r="M34" i="1"/>
  <c r="N27" i="1"/>
  <c r="N40" i="1"/>
  <c r="N22" i="1"/>
  <c r="M36" i="1"/>
  <c r="N37" i="1" s="1"/>
  <c r="M76" i="1" s="1"/>
  <c r="O76" i="1" s="1"/>
  <c r="M35" i="1"/>
  <c r="Q10" i="13"/>
  <c r="Q11" i="13"/>
  <c r="N49" i="1"/>
  <c r="M32" i="1"/>
  <c r="R12" i="13"/>
  <c r="R8" i="13"/>
  <c r="Q14" i="13"/>
  <c r="R6" i="13"/>
  <c r="O83" i="1"/>
  <c r="N44" i="1"/>
  <c r="N28" i="1"/>
  <c r="M37" i="1"/>
  <c r="R10" i="13"/>
  <c r="Q37" i="1"/>
  <c r="R37" i="1" s="1"/>
  <c r="Q32" i="1"/>
  <c r="R7" i="13"/>
  <c r="R11" i="13"/>
  <c r="O91" i="1"/>
  <c r="R27" i="1"/>
  <c r="R25" i="1"/>
  <c r="K82" i="10"/>
  <c r="K77" i="10"/>
  <c r="K72" i="10"/>
  <c r="K71" i="10"/>
  <c r="K62" i="10"/>
  <c r="G20" i="12"/>
  <c r="G132" i="11"/>
  <c r="R40" i="1"/>
  <c r="R44" i="1"/>
  <c r="R11" i="1"/>
  <c r="R10" i="1"/>
  <c r="R22" i="1"/>
  <c r="C110" i="11"/>
  <c r="D108" i="11"/>
  <c r="D107" i="11"/>
  <c r="D106" i="11"/>
  <c r="D105" i="11"/>
  <c r="D104" i="11"/>
  <c r="D103" i="11"/>
  <c r="D102" i="11"/>
  <c r="D101" i="11"/>
  <c r="D100" i="11"/>
  <c r="D110" i="11"/>
  <c r="H92" i="11"/>
  <c r="H91" i="11"/>
  <c r="F91" i="11"/>
  <c r="L88" i="11"/>
  <c r="F90" i="11"/>
  <c r="J87" i="11"/>
  <c r="J86" i="11"/>
  <c r="J85" i="11"/>
  <c r="J84" i="11"/>
  <c r="H83" i="11"/>
  <c r="J82" i="11"/>
  <c r="I81" i="11"/>
  <c r="J80" i="11"/>
  <c r="I79" i="11"/>
  <c r="J78" i="11"/>
  <c r="J77" i="11"/>
  <c r="J76" i="11"/>
  <c r="J75" i="11"/>
  <c r="I74" i="11"/>
  <c r="I73" i="11"/>
  <c r="J72" i="11"/>
  <c r="I71" i="11"/>
  <c r="I70" i="11"/>
  <c r="J69" i="11"/>
  <c r="I68" i="11"/>
  <c r="J67" i="11"/>
  <c r="J66" i="11"/>
  <c r="I65" i="11"/>
  <c r="J64" i="11"/>
  <c r="J63" i="11"/>
  <c r="J62" i="11"/>
  <c r="J61" i="11"/>
  <c r="J60" i="11"/>
  <c r="J59" i="11"/>
  <c r="J58" i="11"/>
  <c r="I57" i="11"/>
  <c r="I56" i="11"/>
  <c r="H55" i="11"/>
  <c r="H54" i="11"/>
  <c r="K53" i="11"/>
  <c r="J52" i="11"/>
  <c r="J51" i="11"/>
  <c r="K50" i="11"/>
  <c r="J49" i="11"/>
  <c r="J48" i="11"/>
  <c r="J47" i="11"/>
  <c r="I46" i="11"/>
  <c r="I45" i="11"/>
  <c r="I44" i="11"/>
  <c r="J43" i="11"/>
  <c r="G42" i="11"/>
  <c r="J34" i="11"/>
  <c r="I34" i="11"/>
  <c r="H34" i="11"/>
  <c r="G34" i="11"/>
  <c r="F34" i="11"/>
  <c r="E34" i="11"/>
  <c r="D34" i="11"/>
  <c r="C34" i="11"/>
  <c r="H19" i="11"/>
  <c r="G19" i="11"/>
  <c r="F19" i="11"/>
  <c r="Q7" i="11"/>
  <c r="Q10" i="11"/>
  <c r="Q13" i="11"/>
  <c r="E19" i="11"/>
  <c r="D19" i="11"/>
  <c r="C19" i="11"/>
  <c r="R11" i="11"/>
  <c r="Q9" i="11"/>
  <c r="R8" i="11"/>
  <c r="Q8" i="11"/>
  <c r="O8" i="11"/>
  <c r="R6" i="11"/>
  <c r="R28" i="1"/>
  <c r="R17" i="1"/>
  <c r="R71" i="1"/>
  <c r="R16" i="1"/>
  <c r="R19" i="1"/>
  <c r="S90" i="1"/>
  <c r="Q71" i="1"/>
  <c r="S71" i="1"/>
  <c r="L19" i="11"/>
  <c r="O7" i="11"/>
  <c r="R7" i="11"/>
  <c r="L34" i="11"/>
  <c r="O9" i="11"/>
  <c r="R9" i="11"/>
  <c r="G42" i="9"/>
  <c r="J43" i="9"/>
  <c r="I44" i="9"/>
  <c r="I45" i="9"/>
  <c r="I46" i="9"/>
  <c r="J47" i="9"/>
  <c r="J48" i="9"/>
  <c r="J49" i="9"/>
  <c r="K50" i="9"/>
  <c r="J51" i="9"/>
  <c r="J52" i="9"/>
  <c r="K53" i="9"/>
  <c r="H54" i="9"/>
  <c r="H55" i="9"/>
  <c r="I56" i="9"/>
  <c r="I57" i="9"/>
  <c r="J58" i="9"/>
  <c r="J59" i="9"/>
  <c r="J60" i="9"/>
  <c r="J61" i="9"/>
  <c r="J62" i="9"/>
  <c r="J63" i="9"/>
  <c r="J64" i="9"/>
  <c r="I65" i="9"/>
  <c r="J66" i="9"/>
  <c r="J67" i="9"/>
  <c r="I68" i="9"/>
  <c r="J69" i="9"/>
  <c r="I70" i="9"/>
  <c r="I71" i="9"/>
  <c r="J72" i="9"/>
  <c r="I73" i="9"/>
  <c r="I74" i="9"/>
  <c r="J75" i="9"/>
  <c r="J76" i="9"/>
  <c r="J77" i="9"/>
  <c r="J78" i="9"/>
  <c r="I79" i="9"/>
  <c r="J80" i="9"/>
  <c r="I81" i="9"/>
  <c r="J82" i="9"/>
  <c r="H83" i="9"/>
  <c r="J84" i="9"/>
  <c r="J85" i="9"/>
  <c r="J86" i="9"/>
  <c r="J87" i="9"/>
  <c r="L88" i="9"/>
  <c r="F90" i="9"/>
  <c r="F91" i="9"/>
  <c r="H92" i="9"/>
  <c r="H91" i="9"/>
  <c r="D100" i="9"/>
  <c r="D110" i="9"/>
  <c r="D101" i="9"/>
  <c r="D102" i="9"/>
  <c r="D103" i="9"/>
  <c r="D104" i="9"/>
  <c r="D105" i="9"/>
  <c r="D106" i="9"/>
  <c r="D107" i="9"/>
  <c r="D108" i="9"/>
  <c r="C110" i="9"/>
  <c r="V25" i="1"/>
  <c r="N103" i="10"/>
  <c r="N102" i="10"/>
  <c r="L118" i="10"/>
  <c r="L117" i="10"/>
  <c r="N101" i="10"/>
  <c r="N100" i="10"/>
  <c r="V43" i="1"/>
  <c r="V42" i="1"/>
  <c r="V44" i="1" s="1"/>
  <c r="K122" i="10"/>
  <c r="K111" i="10"/>
  <c r="M41" i="10"/>
  <c r="M40" i="10"/>
  <c r="V23" i="1"/>
  <c r="G93" i="10"/>
  <c r="G82" i="10"/>
  <c r="O10" i="11"/>
  <c r="O13" i="11"/>
  <c r="R10" i="11"/>
  <c r="G23" i="3"/>
  <c r="G12" i="3"/>
  <c r="G4" i="3"/>
  <c r="V40" i="1"/>
  <c r="V61" i="1"/>
  <c r="U37" i="1"/>
  <c r="V37" i="1" s="1"/>
  <c r="W30" i="1" s="1"/>
  <c r="W57" i="1"/>
  <c r="V28" i="1"/>
  <c r="V17" i="1"/>
  <c r="V71" i="1"/>
  <c r="V16" i="1"/>
  <c r="U71" i="1"/>
  <c r="J34" i="9"/>
  <c r="I34" i="9"/>
  <c r="H34" i="9"/>
  <c r="G34" i="9"/>
  <c r="F34" i="9"/>
  <c r="E34" i="9"/>
  <c r="D34" i="9"/>
  <c r="C34" i="9"/>
  <c r="H19" i="9"/>
  <c r="G19" i="9"/>
  <c r="F19" i="9"/>
  <c r="E19" i="9"/>
  <c r="D19" i="9"/>
  <c r="C19" i="9"/>
  <c r="R11" i="9"/>
  <c r="Q9" i="9"/>
  <c r="Q8" i="9"/>
  <c r="O8" i="9"/>
  <c r="R8" i="9"/>
  <c r="Q7" i="9"/>
  <c r="Q10" i="9"/>
  <c r="Q13" i="9"/>
  <c r="R6" i="9"/>
  <c r="V19" i="1"/>
  <c r="W71" i="1"/>
  <c r="L34" i="9"/>
  <c r="O9" i="9"/>
  <c r="R9" i="9"/>
  <c r="L19" i="9"/>
  <c r="O7" i="9"/>
  <c r="R7" i="9"/>
  <c r="W90" i="1"/>
  <c r="O10" i="9"/>
  <c r="O13" i="9"/>
  <c r="R10" i="9"/>
  <c r="Z40" i="1"/>
  <c r="O8" i="7"/>
  <c r="J34" i="7"/>
  <c r="Q8" i="7"/>
  <c r="Z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/>
  <c r="G75" i="8"/>
  <c r="I5" i="8"/>
  <c r="J5" i="8"/>
  <c r="I7" i="8"/>
  <c r="J7" i="8"/>
  <c r="I75" i="8"/>
  <c r="Z42" i="1"/>
  <c r="H75" i="8"/>
  <c r="Z43" i="1"/>
  <c r="Z44" i="1" s="1"/>
  <c r="I10" i="8"/>
  <c r="J10" i="8"/>
  <c r="H16" i="8"/>
  <c r="Z52" i="1"/>
  <c r="I9" i="8"/>
  <c r="J9" i="8"/>
  <c r="G16" i="8"/>
  <c r="I2" i="8"/>
  <c r="J2" i="8"/>
  <c r="I6" i="8"/>
  <c r="J6" i="8"/>
  <c r="I4" i="8"/>
  <c r="J4" i="8"/>
  <c r="I11" i="8"/>
  <c r="J11" i="8"/>
  <c r="I8" i="8"/>
  <c r="J8" i="8"/>
  <c r="I14" i="8"/>
  <c r="J14" i="8"/>
  <c r="I3" i="8"/>
  <c r="J3" i="8"/>
  <c r="I12" i="8"/>
  <c r="J12" i="8"/>
  <c r="I16" i="8"/>
  <c r="J16" i="8"/>
  <c r="W2" i="3"/>
  <c r="H10" i="3"/>
  <c r="H12" i="3" s="1"/>
  <c r="H23" i="3" s="1"/>
  <c r="H2" i="3"/>
  <c r="H4" i="3"/>
  <c r="D16" i="7"/>
  <c r="C110" i="7"/>
  <c r="D108" i="7"/>
  <c r="D107" i="7"/>
  <c r="D106" i="7"/>
  <c r="D105" i="7"/>
  <c r="D104" i="7"/>
  <c r="D103" i="7"/>
  <c r="D102" i="7"/>
  <c r="D101" i="7"/>
  <c r="D100" i="7"/>
  <c r="D110" i="7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Y35" i="1"/>
  <c r="H34" i="7"/>
  <c r="G34" i="7"/>
  <c r="F34" i="7"/>
  <c r="E34" i="7"/>
  <c r="Y32" i="1"/>
  <c r="D34" i="7"/>
  <c r="Y37" i="1"/>
  <c r="C34" i="7"/>
  <c r="H19" i="7"/>
  <c r="G19" i="7"/>
  <c r="F19" i="7"/>
  <c r="E19" i="7"/>
  <c r="D19" i="7"/>
  <c r="C19" i="7"/>
  <c r="R11" i="7"/>
  <c r="Q9" i="7"/>
  <c r="R8" i="7"/>
  <c r="R6" i="7"/>
  <c r="AA57" i="1"/>
  <c r="Z17" i="1"/>
  <c r="Z71" i="1"/>
  <c r="Z16" i="1"/>
  <c r="Z37" i="1"/>
  <c r="Q7" i="7"/>
  <c r="Q10" i="7"/>
  <c r="Q13" i="7"/>
  <c r="Z27" i="1"/>
  <c r="Z19" i="1"/>
  <c r="AA90" i="1"/>
  <c r="L34" i="7"/>
  <c r="O9" i="7"/>
  <c r="R9" i="7"/>
  <c r="L19" i="7"/>
  <c r="O7" i="7"/>
  <c r="Y71" i="1"/>
  <c r="AA71" i="1"/>
  <c r="Z28" i="1"/>
  <c r="L88" i="7"/>
  <c r="F90" i="7"/>
  <c r="O10" i="7"/>
  <c r="O13" i="7"/>
  <c r="R7" i="7"/>
  <c r="R10" i="7"/>
  <c r="AD25" i="1"/>
  <c r="AY86" i="1"/>
  <c r="AY85" i="1"/>
  <c r="AU86" i="1"/>
  <c r="AU85" i="1"/>
  <c r="K42" i="6"/>
  <c r="J42" i="6"/>
  <c r="F42" i="6"/>
  <c r="K39" i="6"/>
  <c r="K37" i="6"/>
  <c r="K35" i="6"/>
  <c r="K33" i="6"/>
  <c r="K32" i="6"/>
  <c r="K30" i="6"/>
  <c r="K29" i="6"/>
  <c r="K28" i="6"/>
  <c r="K26" i="6"/>
  <c r="K24" i="6"/>
  <c r="K23" i="6"/>
  <c r="K21" i="6"/>
  <c r="K19" i="6"/>
  <c r="K17" i="6"/>
  <c r="K15" i="6"/>
  <c r="K14" i="6"/>
  <c r="K13" i="6"/>
  <c r="K11" i="6"/>
  <c r="K9" i="6"/>
  <c r="K8" i="6"/>
  <c r="K7" i="6"/>
  <c r="I39" i="6"/>
  <c r="I37" i="6"/>
  <c r="I35" i="6"/>
  <c r="I33" i="6"/>
  <c r="I32" i="6"/>
  <c r="I30" i="6"/>
  <c r="I29" i="6"/>
  <c r="I28" i="6"/>
  <c r="I26" i="6"/>
  <c r="I24" i="6"/>
  <c r="I23" i="6"/>
  <c r="I21" i="6"/>
  <c r="I19" i="6"/>
  <c r="I17" i="6"/>
  <c r="I15" i="6"/>
  <c r="I14" i="6"/>
  <c r="I13" i="6"/>
  <c r="I11" i="6"/>
  <c r="I9" i="6"/>
  <c r="I8" i="6"/>
  <c r="I7" i="6"/>
  <c r="G40" i="6"/>
  <c r="F40" i="6"/>
  <c r="G38" i="6"/>
  <c r="I38" i="6"/>
  <c r="F38" i="6"/>
  <c r="G36" i="6"/>
  <c r="F36" i="6"/>
  <c r="G34" i="6"/>
  <c r="I34" i="6"/>
  <c r="F34" i="6"/>
  <c r="G31" i="6"/>
  <c r="F31" i="6"/>
  <c r="G27" i="6"/>
  <c r="F27" i="6"/>
  <c r="G25" i="6"/>
  <c r="I25" i="6"/>
  <c r="F25" i="6"/>
  <c r="G22" i="6"/>
  <c r="I22" i="6"/>
  <c r="F22" i="6"/>
  <c r="G20" i="6"/>
  <c r="F20" i="6"/>
  <c r="G18" i="6"/>
  <c r="I18" i="6"/>
  <c r="F18" i="6"/>
  <c r="G16" i="6"/>
  <c r="F16" i="6"/>
  <c r="G12" i="6"/>
  <c r="F12" i="6"/>
  <c r="G10" i="6"/>
  <c r="I10" i="6"/>
  <c r="F10" i="6"/>
  <c r="G6" i="6"/>
  <c r="I6" i="6"/>
  <c r="F6" i="6"/>
  <c r="G3" i="6"/>
  <c r="F3" i="6"/>
  <c r="F41" i="6"/>
  <c r="D85" i="4"/>
  <c r="I5" i="6"/>
  <c r="I4" i="6"/>
  <c r="I2" i="6"/>
  <c r="I27" i="6"/>
  <c r="I31" i="6"/>
  <c r="I12" i="6"/>
  <c r="I16" i="6"/>
  <c r="I20" i="6"/>
  <c r="I36" i="6"/>
  <c r="I40" i="6"/>
  <c r="G41" i="6"/>
  <c r="G43" i="6"/>
  <c r="I3" i="6"/>
  <c r="F43" i="6"/>
  <c r="G46" i="6"/>
  <c r="F108" i="5"/>
  <c r="F91" i="7"/>
  <c r="AD52" i="1"/>
  <c r="AD53" i="1" s="1"/>
  <c r="AD63" i="1" s="1"/>
  <c r="AD51" i="1"/>
  <c r="AC36" i="1"/>
  <c r="I34" i="5"/>
  <c r="AC35" i="1"/>
  <c r="H34" i="5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K70" i="5"/>
  <c r="J69" i="5"/>
  <c r="J68" i="5"/>
  <c r="K67" i="5"/>
  <c r="J66" i="5"/>
  <c r="J65" i="5"/>
  <c r="J64" i="5"/>
  <c r="I63" i="5"/>
  <c r="I62" i="5"/>
  <c r="I61" i="5"/>
  <c r="J60" i="5"/>
  <c r="G59" i="5"/>
  <c r="G105" i="5"/>
  <c r="I54" i="5"/>
  <c r="H54" i="5"/>
  <c r="G54" i="5"/>
  <c r="I47" i="5"/>
  <c r="F48" i="5"/>
  <c r="F42" i="5"/>
  <c r="E43" i="5"/>
  <c r="E48" i="5"/>
  <c r="F50" i="5"/>
  <c r="E46" i="5"/>
  <c r="I39" i="5"/>
  <c r="R8" i="5"/>
  <c r="Q9" i="5"/>
  <c r="R11" i="5"/>
  <c r="R6" i="5"/>
  <c r="C25" i="5"/>
  <c r="G34" i="5"/>
  <c r="F34" i="5"/>
  <c r="E34" i="5"/>
  <c r="AC32" i="1"/>
  <c r="AD37" i="1" s="1"/>
  <c r="D34" i="5"/>
  <c r="AC37" i="1"/>
  <c r="C34" i="5"/>
  <c r="H19" i="5"/>
  <c r="G19" i="5"/>
  <c r="F19" i="5"/>
  <c r="Q7" i="5"/>
  <c r="E19" i="5"/>
  <c r="D19" i="5"/>
  <c r="C19" i="5"/>
  <c r="Q10" i="5"/>
  <c r="Q13" i="5"/>
  <c r="AD22" i="1"/>
  <c r="K105" i="5"/>
  <c r="AD23" i="1"/>
  <c r="H105" i="5"/>
  <c r="AC33" i="1"/>
  <c r="J105" i="5"/>
  <c r="AD43" i="1"/>
  <c r="I105" i="5"/>
  <c r="AD42" i="1"/>
  <c r="AE57" i="1"/>
  <c r="L34" i="5"/>
  <c r="O9" i="5"/>
  <c r="R9" i="5"/>
  <c r="L19" i="5"/>
  <c r="O7" i="5"/>
  <c r="AI57" i="1"/>
  <c r="L105" i="5"/>
  <c r="R7" i="5"/>
  <c r="R10" i="5"/>
  <c r="O10" i="5"/>
  <c r="O13" i="5"/>
  <c r="AU81" i="1"/>
  <c r="E82" i="4"/>
  <c r="E85" i="4" s="1"/>
  <c r="AD26" i="1" s="1"/>
  <c r="C78" i="4"/>
  <c r="E5" i="4"/>
  <c r="J3" i="6"/>
  <c r="E10" i="4"/>
  <c r="J6" i="6"/>
  <c r="K6" i="6"/>
  <c r="E15" i="4"/>
  <c r="J12" i="6"/>
  <c r="K12" i="6"/>
  <c r="E20" i="4"/>
  <c r="J10" i="6"/>
  <c r="K10" i="6"/>
  <c r="E25" i="4"/>
  <c r="J16" i="6"/>
  <c r="K16" i="6"/>
  <c r="E30" i="4"/>
  <c r="J18" i="6"/>
  <c r="K18" i="6"/>
  <c r="E35" i="4"/>
  <c r="J20" i="6"/>
  <c r="K20" i="6"/>
  <c r="E40" i="4"/>
  <c r="J22" i="6"/>
  <c r="K22" i="6"/>
  <c r="E45" i="4"/>
  <c r="J25" i="6"/>
  <c r="K25" i="6"/>
  <c r="E50" i="4"/>
  <c r="J27" i="6"/>
  <c r="K27" i="6"/>
  <c r="E55" i="4"/>
  <c r="J31" i="6"/>
  <c r="K31" i="6"/>
  <c r="E60" i="4"/>
  <c r="J34" i="6"/>
  <c r="K34" i="6"/>
  <c r="E65" i="4"/>
  <c r="J36" i="6"/>
  <c r="K36" i="6"/>
  <c r="E70" i="4"/>
  <c r="J38" i="6"/>
  <c r="K38" i="6"/>
  <c r="E75" i="4"/>
  <c r="J40" i="6"/>
  <c r="K40" i="6"/>
  <c r="E80" i="4"/>
  <c r="J43" i="6"/>
  <c r="K43" i="6"/>
  <c r="K3" i="6"/>
  <c r="AD40" i="1"/>
  <c r="AD44" i="1"/>
  <c r="H91" i="7"/>
  <c r="H92" i="7"/>
  <c r="H108" i="5"/>
  <c r="H109" i="5"/>
  <c r="AD49" i="1"/>
  <c r="AD16" i="1"/>
  <c r="Z49" i="1"/>
  <c r="I4" i="3"/>
  <c r="AC71" i="1"/>
  <c r="AD17" i="1"/>
  <c r="I12" i="3"/>
  <c r="AT63" i="1"/>
  <c r="AT24" i="1"/>
  <c r="AT23" i="1"/>
  <c r="AT28" i="1"/>
  <c r="AL24" i="1"/>
  <c r="AL23" i="1"/>
  <c r="AH23" i="1"/>
  <c r="AH25" i="1"/>
  <c r="AH28" i="1"/>
  <c r="AH27" i="1"/>
  <c r="AG37" i="1"/>
  <c r="V49" i="1"/>
  <c r="R49" i="1"/>
  <c r="R53" i="1"/>
  <c r="R63" i="1"/>
  <c r="Z53" i="1"/>
  <c r="Z63" i="1" s="1"/>
  <c r="I23" i="3"/>
  <c r="AD19" i="1"/>
  <c r="AD55" i="1"/>
  <c r="AD71" i="1"/>
  <c r="AE71" i="1"/>
  <c r="AH44" i="1"/>
  <c r="AH37" i="1"/>
  <c r="AG76" i="1"/>
  <c r="AI76" i="1"/>
  <c r="AH17" i="1"/>
  <c r="AH16" i="1"/>
  <c r="AL25" i="1"/>
  <c r="AK37" i="1"/>
  <c r="AL17" i="1"/>
  <c r="K10" i="3"/>
  <c r="K12" i="3"/>
  <c r="AL16" i="1"/>
  <c r="K2" i="3"/>
  <c r="AK32" i="1"/>
  <c r="AL40" i="1"/>
  <c r="AL44" i="1"/>
  <c r="AL28" i="1"/>
  <c r="S12" i="3"/>
  <c r="R12" i="3"/>
  <c r="Q12" i="3"/>
  <c r="P12" i="3"/>
  <c r="O12" i="3"/>
  <c r="N12" i="3"/>
  <c r="M12" i="3"/>
  <c r="L12" i="3"/>
  <c r="S4" i="3"/>
  <c r="R4" i="3"/>
  <c r="Q4" i="3"/>
  <c r="P4" i="3"/>
  <c r="O4" i="3"/>
  <c r="N4" i="3"/>
  <c r="M4" i="3"/>
  <c r="L4" i="3"/>
  <c r="AP51" i="1"/>
  <c r="AP17" i="1"/>
  <c r="AP71" i="1"/>
  <c r="AP16" i="1"/>
  <c r="AT80" i="1"/>
  <c r="AS80" i="1"/>
  <c r="AW80" i="1"/>
  <c r="AP57" i="1"/>
  <c r="AX80" i="1"/>
  <c r="AY53" i="1"/>
  <c r="AY60" i="1"/>
  <c r="AY44" i="1"/>
  <c r="AX32" i="1"/>
  <c r="AY37" i="1"/>
  <c r="AX37" i="1"/>
  <c r="AY8" i="1"/>
  <c r="AY11" i="1"/>
  <c r="AY14" i="1"/>
  <c r="AY17" i="1"/>
  <c r="AK71" i="1"/>
  <c r="W83" i="1"/>
  <c r="S83" i="1"/>
  <c r="V53" i="1"/>
  <c r="V63" i="1"/>
  <c r="AY63" i="1"/>
  <c r="AP55" i="1"/>
  <c r="AA83" i="1"/>
  <c r="AY83" i="1"/>
  <c r="AU83" i="1"/>
  <c r="AQ83" i="1"/>
  <c r="AM83" i="1"/>
  <c r="AI83" i="1"/>
  <c r="AE83" i="1"/>
  <c r="L23" i="3"/>
  <c r="P23" i="3"/>
  <c r="M23" i="3"/>
  <c r="Q23" i="3"/>
  <c r="N23" i="3"/>
  <c r="R23" i="3"/>
  <c r="O23" i="3"/>
  <c r="S23" i="3"/>
  <c r="K4" i="3"/>
  <c r="AP37" i="1"/>
  <c r="AO76" i="1"/>
  <c r="AQ76" i="1"/>
  <c r="AG71" i="1"/>
  <c r="J2" i="3"/>
  <c r="AL19" i="1"/>
  <c r="AL71" i="1"/>
  <c r="AM71" i="1"/>
  <c r="AH71" i="1"/>
  <c r="J10" i="3"/>
  <c r="AY19" i="1"/>
  <c r="AY28" i="1"/>
  <c r="AH55" i="1"/>
  <c r="AH19" i="1"/>
  <c r="AI30" i="1"/>
  <c r="AP28" i="1"/>
  <c r="AO73" i="1"/>
  <c r="AL37" i="1"/>
  <c r="AK76" i="1"/>
  <c r="AM76" i="1"/>
  <c r="AO71" i="1"/>
  <c r="AQ84" i="1"/>
  <c r="AP19" i="1"/>
  <c r="AP44" i="1"/>
  <c r="AP49" i="1"/>
  <c r="AP53" i="1"/>
  <c r="AP63" i="1"/>
  <c r="AI71" i="1"/>
  <c r="AY84" i="1"/>
  <c r="AY87" i="1"/>
  <c r="AI84" i="1"/>
  <c r="AE84" i="1"/>
  <c r="AA84" i="1"/>
  <c r="W84" i="1"/>
  <c r="S84" i="1"/>
  <c r="AU84" i="1"/>
  <c r="AU87" i="1"/>
  <c r="AM84" i="1"/>
  <c r="AQ86" i="1"/>
  <c r="AM86" i="1"/>
  <c r="AI86" i="1"/>
  <c r="J12" i="3"/>
  <c r="J4" i="3"/>
  <c r="AO79" i="1"/>
  <c r="AP73" i="1"/>
  <c r="AP79" i="1"/>
  <c r="AL49" i="1"/>
  <c r="AQ71" i="1"/>
  <c r="J23" i="3"/>
  <c r="AQ73" i="1"/>
  <c r="AQ85" i="1"/>
  <c r="AQ87" i="1"/>
  <c r="AL53" i="1"/>
  <c r="AM51" i="1"/>
  <c r="AH49" i="1"/>
  <c r="AQ79" i="1"/>
  <c r="AQ80" i="1"/>
  <c r="AQ81" i="1"/>
  <c r="AL63" i="1"/>
  <c r="AM49" i="1"/>
  <c r="AM50" i="1"/>
  <c r="AM52" i="1"/>
  <c r="AH53" i="1"/>
  <c r="AO80" i="1"/>
  <c r="AK73" i="1"/>
  <c r="AK79" i="1"/>
  <c r="AQ82" i="1"/>
  <c r="AP80" i="1"/>
  <c r="AL73" i="1"/>
  <c r="AL79" i="1"/>
  <c r="AI49" i="1"/>
  <c r="AH63" i="1"/>
  <c r="AI52" i="1"/>
  <c r="AI50" i="1"/>
  <c r="AI51" i="1"/>
  <c r="AM73" i="1"/>
  <c r="AM85" i="1"/>
  <c r="AM87" i="1"/>
  <c r="AM79" i="1"/>
  <c r="AL80" i="1"/>
  <c r="AH73" i="1"/>
  <c r="AH79" i="1"/>
  <c r="AM80" i="1"/>
  <c r="AM81" i="1"/>
  <c r="AM82" i="1"/>
  <c r="AK80" i="1"/>
  <c r="AG73" i="1"/>
  <c r="AG79" i="1"/>
  <c r="AI73" i="1"/>
  <c r="AI85" i="1"/>
  <c r="AI87" i="1"/>
  <c r="AI79" i="1"/>
  <c r="AI80" i="1"/>
  <c r="AI81" i="1"/>
  <c r="AG80" i="1"/>
  <c r="AI82" i="1"/>
  <c r="AH80" i="1"/>
  <c r="AE30" i="1" l="1"/>
  <c r="AC76" i="1"/>
  <c r="AE76" i="1" s="1"/>
  <c r="AE86" i="1" s="1"/>
  <c r="E2" i="3"/>
  <c r="S30" i="1"/>
  <c r="Q76" i="1"/>
  <c r="S76" i="1" s="1"/>
  <c r="J49" i="1"/>
  <c r="N53" i="1"/>
  <c r="N63" i="1" s="1"/>
  <c r="U76" i="1"/>
  <c r="W76" i="1" s="1"/>
  <c r="AD28" i="1"/>
  <c r="AA91" i="1"/>
  <c r="AA92" i="1" s="1"/>
  <c r="AA30" i="1"/>
  <c r="Y76" i="1"/>
  <c r="AA76" i="1" s="1"/>
  <c r="W91" i="1"/>
  <c r="W92" i="1" s="1"/>
  <c r="S91" i="1"/>
  <c r="S92" i="1" s="1"/>
  <c r="K23" i="3"/>
  <c r="N17" i="1"/>
  <c r="N71" i="1" s="1"/>
  <c r="J71" i="1"/>
  <c r="K71" i="1" s="1"/>
  <c r="C15" i="3"/>
  <c r="N16" i="1"/>
  <c r="F4" i="3"/>
  <c r="C6" i="3" s="1"/>
  <c r="L34" i="15"/>
  <c r="J37" i="1"/>
  <c r="K30" i="1" s="1"/>
  <c r="O12" i="15"/>
  <c r="R12" i="15" s="1"/>
  <c r="L19" i="15"/>
  <c r="O7" i="15" s="1"/>
  <c r="R7" i="15" s="1"/>
  <c r="K91" i="1"/>
  <c r="K92" i="1" s="1"/>
  <c r="I76" i="1"/>
  <c r="R10" i="15"/>
  <c r="E4" i="3" l="1"/>
  <c r="C5" i="3" s="1"/>
  <c r="C8" i="3" s="1"/>
  <c r="E10" i="3"/>
  <c r="T2" i="3"/>
  <c r="F23" i="3"/>
  <c r="F53" i="1"/>
  <c r="F63" i="1" s="1"/>
  <c r="J53" i="1"/>
  <c r="AA86" i="1"/>
  <c r="W86" i="1" s="1"/>
  <c r="S86" i="1" s="1"/>
  <c r="O86" i="1" s="1"/>
  <c r="M71" i="1"/>
  <c r="O71" i="1" s="1"/>
  <c r="O84" i="1" s="1"/>
  <c r="N19" i="1"/>
  <c r="AD73" i="1"/>
  <c r="AD79" i="1" s="1"/>
  <c r="AC73" i="1"/>
  <c r="K76" i="1"/>
  <c r="O11" i="15"/>
  <c r="J63" i="1" s="1"/>
  <c r="O18" i="15"/>
  <c r="R11" i="15"/>
  <c r="E12" i="3" l="1"/>
  <c r="T10" i="3"/>
  <c r="AC79" i="1"/>
  <c r="AE73" i="1"/>
  <c r="AE85" i="1" s="1"/>
  <c r="V2" i="3"/>
  <c r="T4" i="3"/>
  <c r="U2" i="3"/>
  <c r="K86" i="1"/>
  <c r="O90" i="1"/>
  <c r="O92" i="1" s="1"/>
  <c r="O30" i="1"/>
  <c r="K84" i="1"/>
  <c r="G84" i="1" s="1"/>
  <c r="O14" i="15"/>
  <c r="G86" i="1" l="1"/>
  <c r="V10" i="3"/>
  <c r="V23" i="3" s="1"/>
  <c r="U10" i="3"/>
  <c r="U23" i="3" s="1"/>
  <c r="T12" i="3"/>
  <c r="T23" i="3" s="1"/>
  <c r="E23" i="3"/>
  <c r="C14" i="3"/>
  <c r="C17" i="3" s="1"/>
  <c r="AE79" i="1"/>
  <c r="AC80" i="1"/>
  <c r="Y73" i="1" s="1"/>
  <c r="Y79" i="1"/>
  <c r="AE87" i="1"/>
  <c r="AA73" i="1" l="1"/>
  <c r="AA85" i="1" s="1"/>
  <c r="AE80" i="1"/>
  <c r="AE81" i="1" s="1"/>
  <c r="AE26" i="1"/>
  <c r="AD80" i="1"/>
  <c r="Z73" i="1" s="1"/>
  <c r="Z79" i="1" s="1"/>
  <c r="AA87" i="1" l="1"/>
  <c r="AA79" i="1"/>
  <c r="AA80" i="1" l="1"/>
  <c r="AA81" i="1" s="1"/>
  <c r="AA26" i="1"/>
  <c r="Y80" i="1"/>
  <c r="U73" i="1" s="1"/>
  <c r="Z80" i="1"/>
  <c r="V73" i="1" s="1"/>
  <c r="V79" i="1" s="1"/>
  <c r="W73" i="1" l="1"/>
  <c r="W85" i="1" s="1"/>
  <c r="U79" i="1"/>
  <c r="W79" i="1" l="1"/>
  <c r="W87" i="1"/>
  <c r="W80" i="1" l="1"/>
  <c r="W81" i="1" s="1"/>
  <c r="W26" i="1"/>
  <c r="V80" i="1"/>
  <c r="R73" i="1" s="1"/>
  <c r="R79" i="1" s="1"/>
  <c r="U80" i="1"/>
  <c r="Q73" i="1" s="1"/>
  <c r="S73" i="1" l="1"/>
  <c r="S85" i="1" s="1"/>
  <c r="Q79" i="1"/>
  <c r="S79" i="1" l="1"/>
  <c r="S87" i="1"/>
  <c r="S26" i="1" l="1"/>
  <c r="S80" i="1"/>
  <c r="S81" i="1" s="1"/>
  <c r="R80" i="1"/>
  <c r="N73" i="1" s="1"/>
  <c r="N79" i="1" s="1"/>
  <c r="Q80" i="1"/>
  <c r="M73" i="1" s="1"/>
  <c r="O73" i="1" l="1"/>
  <c r="O85" i="1" s="1"/>
  <c r="O87" i="1" s="1"/>
  <c r="M79" i="1"/>
  <c r="O79" i="1" l="1"/>
  <c r="M80" i="1"/>
  <c r="I73" i="1" s="1"/>
  <c r="I79" i="1"/>
  <c r="K73" i="1" l="1"/>
  <c r="K85" i="1" s="1"/>
  <c r="O80" i="1"/>
  <c r="O81" i="1" s="1"/>
  <c r="O26" i="1"/>
  <c r="N80" i="1"/>
  <c r="J73" i="1" s="1"/>
  <c r="J79" i="1" s="1"/>
  <c r="K87" i="1" l="1"/>
  <c r="K79" i="1"/>
  <c r="J80" i="1" s="1"/>
  <c r="F73" i="1" s="1"/>
  <c r="F79" i="1" s="1"/>
  <c r="K26" i="1" l="1"/>
  <c r="K80" i="1"/>
  <c r="K81" i="1" s="1"/>
  <c r="I80" i="1"/>
  <c r="E73" i="1" s="1"/>
  <c r="G73" i="1" l="1"/>
  <c r="G85" i="1" s="1"/>
  <c r="G87" i="1" s="1"/>
  <c r="E79" i="1"/>
  <c r="G79" i="1" l="1"/>
  <c r="E80" i="1" s="1"/>
  <c r="G80" i="1" l="1"/>
  <c r="G81" i="1" s="1"/>
  <c r="G26" i="1"/>
  <c r="F80" i="1"/>
</calcChain>
</file>

<file path=xl/comments1.xml><?xml version="1.0" encoding="utf-8"?>
<comments xmlns="http://schemas.openxmlformats.org/spreadsheetml/2006/main">
  <authors>
    <author>Mike</author>
  </authors>
  <commentList>
    <comment ref="F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22.5 acres at £125
</t>
        </r>
      </text>
    </comment>
    <comment ref="J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22.5 acres at £125
</t>
        </r>
      </text>
    </comment>
    <comment ref="N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21 acres at £125
</t>
        </r>
      </text>
    </comment>
    <comment ref="R22" authorId="0" shapeId="0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19.5 acres at £125
</t>
        </r>
      </text>
    </comment>
  </commentList>
</comments>
</file>

<file path=xl/comments2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<sst xmlns="http://schemas.openxmlformats.org/spreadsheetml/2006/main" count="1698" uniqueCount="457">
  <si>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</si>
  <si>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</si>
  <si>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</si>
  <si>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</si>
  <si>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</si>
  <si>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</si>
  <si>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</si>
  <si>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</si>
  <si>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</si>
  <si>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</si>
  <si>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</si>
  <si>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</si>
  <si>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</si>
  <si>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</si>
  <si>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</si>
  <si>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</si>
  <si>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</si>
  <si>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</si>
  <si>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</si>
  <si>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</si>
  <si>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</si>
  <si>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</si>
  <si>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</si>
  <si>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</si>
  <si>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</si>
  <si>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</si>
  <si>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</si>
  <si>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</si>
  <si>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</si>
  <si>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</si>
  <si>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</si>
  <si>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</si>
  <si>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</si>
  <si>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</si>
  <si>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</si>
  <si>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</si>
  <si>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</si>
  <si>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</si>
  <si>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</si>
  <si>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</si>
  <si>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</si>
  <si>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</si>
  <si>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</si>
  <si>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</si>
  <si>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</si>
  <si>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</si>
  <si>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</si>
  <si>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</si>
  <si>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</si>
  <si>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</si>
  <si>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</si>
  <si>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</si>
  <si>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</si>
  <si>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</si>
  <si>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</si>
  <si>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Scrip issues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</si>
  <si>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</si>
  <si>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</si>
  <si>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</si>
  <si>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</si>
  <si>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</si>
  <si>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</si>
  <si>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</si>
  <si>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</si>
  <si>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</si>
  <si>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</si>
  <si>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</si>
  <si>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</si>
  <si>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</si>
  <si>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</si>
  <si>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</si>
  <si>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</si>
  <si>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</si>
  <si>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</si>
  <si>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</si>
  <si>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</si>
  <si>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</si>
  <si>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</si>
  <si>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</si>
  <si>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</si>
  <si>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</si>
  <si>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</si>
  <si>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</si>
  <si>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</si>
  <si>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</si>
  <si>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</si>
  <si>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</si>
  <si>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</si>
  <si>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</si>
  <si>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</si>
  <si>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</si>
  <si>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</si>
  <si>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</si>
  <si>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</si>
  <si>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</si>
  <si>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</si>
  <si>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</si>
  <si>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</si>
  <si>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</si>
  <si>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</si>
  <si>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</si>
  <si>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</si>
  <si>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</si>
  <si>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</si>
  <si>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</si>
  <si>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</si>
  <si>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</si>
  <si>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</si>
  <si>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</si>
  <si>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</si>
  <si>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</si>
  <si>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</si>
  <si>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</si>
  <si>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</si>
  <si>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</si>
  <si>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</si>
  <si>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</si>
  <si>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</si>
  <si>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</si>
  <si>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</si>
  <si>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</si>
  <si>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</si>
  <si>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</si>
  <si>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</si>
  <si>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</si>
  <si>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</si>
  <si>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</si>
  <si>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</si>
  <si>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</si>
  <si>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</si>
  <si>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</si>
  <si>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</si>
  <si>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</si>
  <si>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</si>
  <si>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</si>
  <si>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</si>
  <si>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</si>
  <si>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</si>
  <si>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</si>
  <si>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</si>
  <si>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</si>
  <si>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</si>
  <si>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</si>
  <si>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</si>
  <si>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</si>
  <si>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</si>
  <si>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</si>
  <si>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</si>
  <si>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</si>
  <si>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</si>
  <si>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</si>
  <si>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</si>
  <si>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</si>
  <si>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</si>
  <si>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</si>
  <si>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</si>
  <si>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</si>
  <si>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</si>
  <si>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</si>
  <si>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</si>
  <si>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</si>
  <si>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</si>
  <si>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</si>
  <si>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</si>
  <si>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</si>
  <si>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</si>
  <si>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</si>
  <si>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</si>
  <si>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</si>
  <si>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</si>
  <si>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</si>
  <si>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</si>
  <si>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</si>
  <si>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</si>
  <si>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</si>
  <si>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</si>
  <si>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</si>
  <si>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</si>
  <si>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</si>
  <si>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</si>
  <si>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</si>
  <si>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</si>
  <si>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</si>
  <si>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</si>
  <si>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</si>
  <si>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</si>
  <si>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</si>
  <si>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</si>
  <si>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</si>
  <si>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</si>
  <si>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</si>
  <si>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</si>
  <si>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</si>
  <si>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</si>
  <si>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</si>
  <si>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</si>
  <si>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</si>
  <si>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</si>
  <si>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</si>
  <si>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</si>
  <si>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</si>
  <si>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</si>
  <si>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</si>
  <si>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</si>
  <si>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</si>
  <si>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</si>
  <si>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</si>
  <si>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</si>
  <si>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</si>
  <si>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</si>
  <si>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</si>
  <si>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</si>
  <si>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</si>
  <si>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</si>
  <si>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</si>
  <si>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</si>
  <si>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</si>
  <si>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</si>
  <si>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</si>
  <si>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</si>
  <si>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</si>
  <si>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</si>
  <si>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</si>
  <si>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</si>
  <si>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</si>
  <si>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</si>
  <si>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</si>
  <si>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</si>
  <si>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</si>
  <si>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</si>
  <si>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</si>
  <si>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</si>
  <si>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</si>
  <si>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</si>
  <si>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</si>
  <si>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</si>
  <si>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</si>
  <si>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</si>
  <si>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</si>
  <si>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</si>
  <si>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</si>
  <si>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</si>
  <si>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</si>
  <si>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</si>
  <si>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</si>
  <si>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</si>
  <si>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</si>
  <si>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</si>
  <si>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</si>
  <si>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</si>
  <si>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</si>
  <si>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</si>
  <si>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</si>
  <si>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</si>
  <si>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</si>
  <si>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</si>
  <si>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</si>
  <si>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</si>
  <si>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</si>
  <si>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</si>
  <si>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</si>
  <si>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</si>
  <si>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</si>
  <si>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</si>
  <si>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</si>
  <si>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</si>
  <si>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</si>
  <si>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</si>
  <si>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</si>
  <si>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</si>
  <si>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</si>
  <si>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</si>
  <si>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</si>
  <si>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</si>
  <si>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</si>
  <si>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Value at 5/4/15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</si>
  <si>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</si>
  <si>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</si>
  <si>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</si>
  <si>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</si>
  <si>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</si>
  <si>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</si>
  <si>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</si>
  <si>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</si>
  <si>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</si>
  <si>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</si>
  <si>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</si>
  <si>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</si>
  <si>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</si>
  <si>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</si>
  <si>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</si>
  <si>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</si>
  <si>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</si>
  <si>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</si>
  <si>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</si>
  <si>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</si>
  <si>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</si>
  <si>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</si>
  <si>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</si>
  <si>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</si>
  <si>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</si>
  <si>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</si>
  <si>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</si>
  <si>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</si>
  <si>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</si>
  <si>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</si>
  <si>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</si>
  <si>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</si>
  <si>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</si>
  <si>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</si>
  <si>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</si>
  <si>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</si>
  <si>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</si>
  <si>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</si>
  <si>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</si>
  <si>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</si>
  <si>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</si>
  <si>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</si>
  <si>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</si>
  <si>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</si>
  <si>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</si>
  <si>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</si>
  <si>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</si>
  <si>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</si>
  <si>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</si>
  <si>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</si>
  <si>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</si>
  <si>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</si>
  <si>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</si>
  <si>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</si>
  <si>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</si>
  <si>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</si>
  <si>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</si>
  <si>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</si>
  <si>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</si>
  <si>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</si>
  <si>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</si>
  <si>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</si>
  <si>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</si>
  <si>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</si>
  <si>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</si>
  <si>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</si>
  <si>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</si>
  <si>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</si>
  <si>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</si>
  <si>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</si>
  <si>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</si>
  <si>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</si>
  <si>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</si>
  <si>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</si>
  <si>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</si>
  <si>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</si>
  <si>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</si>
  <si>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</si>
  <si>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</si>
  <si>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</si>
  <si>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</si>
  <si>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</si>
  <si>
    <t>Year Ended 5th April 2017</t>
  </si>
  <si>
    <t>1.5 acres</t>
  </si>
  <si>
    <t>19.5 acres</t>
  </si>
  <si>
    <t>Financial Statement</t>
  </si>
  <si>
    <t>Client ID: 6412710</t>
  </si>
  <si>
    <t>06 April 2017 06:59:26 UTC</t>
  </si>
  <si>
    <t>United Kingdom</t>
  </si>
  <si>
    <t>Currency:</t>
  </si>
  <si>
    <t>Period:</t>
  </si>
  <si>
    <t>06-Apr-2016 - 05-Apr-2017</t>
  </si>
  <si>
    <t>(SSAS) Saxo Capital Markets UK Limited (SCML)</t>
  </si>
  <si>
    <t>Bank Street 40</t>
  </si>
  <si>
    <t>E14 5DA London</t>
  </si>
  <si>
    <t>VAT-ID: 07413871</t>
  </si>
  <si>
    <t>Phone no.: +44-02071512000</t>
  </si>
  <si>
    <t>Fax No.: +44-02071512001</t>
  </si>
  <si>
    <t>Account Summary</t>
  </si>
  <si>
    <t>IBAN</t>
  </si>
  <si>
    <t>Start Balance</t>
  </si>
  <si>
    <t>End Balance</t>
  </si>
  <si>
    <t>Start Equity</t>
  </si>
  <si>
    <t>End Equity</t>
  </si>
  <si>
    <t>Client Activity</t>
  </si>
  <si>
    <t>Booking Type</t>
  </si>
  <si>
    <t>Client Debit</t>
  </si>
  <si>
    <t>Client Credit</t>
  </si>
  <si>
    <t>[Client Custody Fee]</t>
  </si>
  <si>
    <t>Corporate Actions - Cash Dividends</t>
  </si>
  <si>
    <t>Corporate Actions - Fractions</t>
  </si>
  <si>
    <t>Trading Activity in Cash Products</t>
  </si>
  <si>
    <t>Buy Txn Booked Amt</t>
  </si>
  <si>
    <t>Bought</t>
  </si>
  <si>
    <t>Sell Txn Booked Amt</t>
  </si>
  <si>
    <t>Sold</t>
  </si>
  <si>
    <t>Total Booked</t>
  </si>
  <si>
    <t>**See BOS:xlon (Bos Global Holdings NL)</t>
  </si>
  <si>
    <t>Share Amount</t>
  </si>
  <si>
    <t>Barratt Developments Plc</t>
  </si>
  <si>
    <t>Commission</t>
  </si>
  <si>
    <t>[UK Stamp Duty]</t>
  </si>
  <si>
    <t>Bos Global Holdings Ltd</t>
  </si>
  <si>
    <t>[UK PTM Levy]</t>
  </si>
  <si>
    <t>Glencore Plc</t>
  </si>
  <si>
    <t>Value</t>
  </si>
  <si>
    <t>*Delisted 20161129 (Xcite Energy)</t>
  </si>
  <si>
    <t>GB0000811801</t>
  </si>
  <si>
    <t>AU000XINEAC2</t>
  </si>
  <si>
    <t>IE00BZ4BTZ13</t>
  </si>
  <si>
    <t>GB00B7N0K053</t>
  </si>
  <si>
    <t>GB00BYNBFN51</t>
  </si>
  <si>
    <t>Share Holdings as at 05-April-2017</t>
  </si>
  <si>
    <t>Shares Sold</t>
  </si>
  <si>
    <t>Product</t>
  </si>
  <si>
    <t>B/S</t>
  </si>
  <si>
    <t>Instrument currency</t>
  </si>
  <si>
    <t>Order Type</t>
  </si>
  <si>
    <t>Value Date</t>
  </si>
  <si>
    <t>Price</t>
  </si>
  <si>
    <t>Traded Value</t>
  </si>
  <si>
    <t>Booked amount</t>
  </si>
  <si>
    <t>N/A</t>
  </si>
  <si>
    <t>shares sold</t>
  </si>
  <si>
    <t>shares bought</t>
  </si>
  <si>
    <t>Glencore</t>
  </si>
  <si>
    <t>Premier</t>
  </si>
  <si>
    <t>Centamin</t>
  </si>
  <si>
    <t>Cost 5/4/16</t>
  </si>
  <si>
    <t>Profit on sale</t>
  </si>
  <si>
    <t>Year Ended 5th April 2018</t>
  </si>
  <si>
    <t>Creditor</t>
  </si>
  <si>
    <t>Balance Sheet Of Funds as at 5th April 201X</t>
  </si>
  <si>
    <t>Tesco Comp</t>
  </si>
  <si>
    <t>21 acres</t>
  </si>
  <si>
    <t>Due to M&amp;Y Hayes</t>
  </si>
  <si>
    <t>*Delisted 20180309 (Bos Global Holdings Ltd)</t>
  </si>
  <si>
    <t>Micro Focus International Plc</t>
  </si>
  <si>
    <t>GB00BD8YWM01</t>
  </si>
  <si>
    <t>GB00BYSX2795</t>
  </si>
  <si>
    <t>Sold in 2017/18</t>
  </si>
  <si>
    <t>profit/loss 17/18</t>
  </si>
  <si>
    <t>Year Ended 5th April 2019</t>
  </si>
  <si>
    <t>22.5 acres</t>
  </si>
  <si>
    <t>interest earned</t>
  </si>
  <si>
    <t>LEI costs</t>
  </si>
  <si>
    <t>LEI Fees</t>
  </si>
  <si>
    <t>non bank in</t>
  </si>
  <si>
    <t>non bank out</t>
  </si>
  <si>
    <t>non bank transactions</t>
  </si>
  <si>
    <t>MMC SSAS Fund statement for the year ended 5th April 2020</t>
  </si>
  <si>
    <t>Year Ended 5th April 2020</t>
  </si>
  <si>
    <t>from 2019</t>
  </si>
  <si>
    <t>from 2018</t>
  </si>
  <si>
    <t>from 2017</t>
  </si>
  <si>
    <t>All Bank of Ireland &amp; Cash Transactions</t>
  </si>
  <si>
    <t>24 acres</t>
  </si>
  <si>
    <t>period ended 5th April 2020</t>
  </si>
  <si>
    <t>Net funds at 5th April 2020</t>
  </si>
  <si>
    <t>trans from deposit</t>
  </si>
  <si>
    <t>25.5 acres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</si>
</sst>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  <numFmt numFmtId="166" formatCode="_-* #,##0_-;\-* #,##0_-;_-* &quot;-&quot;??_-;_-@_-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rebuchet MS"/>
      <family val="2"/>
    </font>
    <font>
      <sz val="10"/>
      <name val="Trebuchet MS"/>
      <family val="2"/>
    </font>
    <font>
      <b/>
      <sz val="13.5"/>
      <name val="Trebuchet MS"/>
      <family val="2"/>
    </font>
    <font>
      <i/>
      <sz val="6"/>
      <color rgb="FFCCCCCC"/>
      <name val="Trebuchet MS"/>
      <family val="2"/>
    </font>
    <font>
      <b/>
      <sz val="10"/>
      <color rgb="FFFFFFFF"/>
      <name val="Arial"/>
      <family val="2"/>
    </font>
    <font>
      <b/>
      <sz val="10"/>
      <name val="Trebuchet MS"/>
      <family val="2"/>
    </font>
    <font>
      <i/>
      <sz val="10"/>
      <name val="Arial"/>
      <family val="2"/>
    </font>
    <font>
      <b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0" fillId="8" borderId="0" xfId="0" applyFill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right" vertical="center" wrapText="1"/>
    </xf>
    <xf numFmtId="0" fontId="16" fillId="9" borderId="6" xfId="0" applyFont="1" applyFill="1" applyBorder="1" applyAlignment="1">
      <alignment horizontal="right" vertical="center" wrapText="1"/>
    </xf>
    <xf numFmtId="0" fontId="16" fillId="8" borderId="9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right" vertical="top" wrapText="1"/>
    </xf>
    <xf numFmtId="4" fontId="16" fillId="8" borderId="10" xfId="0" applyNumberFormat="1" applyFont="1" applyFill="1" applyBorder="1" applyAlignment="1">
      <alignment horizontal="right" vertical="top" wrapText="1"/>
    </xf>
    <xf numFmtId="0" fontId="16" fillId="8" borderId="11" xfId="0" applyFont="1" applyFill="1" applyBorder="1" applyAlignment="1">
      <alignment horizontal="right" vertical="top" wrapText="1"/>
    </xf>
    <xf numFmtId="4" fontId="20" fillId="8" borderId="0" xfId="0" applyNumberFormat="1" applyFont="1" applyFill="1" applyAlignment="1">
      <alignment horizontal="right" vertical="top" wrapText="1"/>
    </xf>
    <xf numFmtId="0" fontId="0" fillId="8" borderId="0" xfId="0" applyFill="1"/>
    <xf numFmtId="0" fontId="21" fillId="8" borderId="0" xfId="0" applyFont="1" applyFill="1" applyAlignment="1">
      <alignment horizontal="left" vertical="top" wrapText="1"/>
    </xf>
    <xf numFmtId="0" fontId="20" fillId="8" borderId="7" xfId="0" applyFont="1" applyFill="1" applyBorder="1" applyAlignment="1">
      <alignment horizontal="left" vertical="top" wrapText="1"/>
    </xf>
    <xf numFmtId="0" fontId="20" fillId="8" borderId="8" xfId="0" applyFont="1" applyFill="1" applyBorder="1" applyAlignment="1">
      <alignment horizontal="right" vertical="top" wrapText="1"/>
    </xf>
    <xf numFmtId="0" fontId="0" fillId="8" borderId="8" xfId="0" applyFill="1" applyBorder="1"/>
    <xf numFmtId="4" fontId="16" fillId="8" borderId="0" xfId="0" applyNumberFormat="1" applyFont="1" applyFill="1" applyAlignment="1">
      <alignment horizontal="left" vertical="top" wrapText="1"/>
    </xf>
    <xf numFmtId="0" fontId="1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right" vertical="center" wrapText="1"/>
    </xf>
    <xf numFmtId="0" fontId="0" fillId="9" borderId="0" xfId="0" applyFill="1" applyAlignment="1">
      <alignment horizontal="left" vertical="top" wrapText="1"/>
    </xf>
    <xf numFmtId="4" fontId="1" fillId="9" borderId="0" xfId="0" applyNumberFormat="1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left" vertical="top" wrapText="1"/>
    </xf>
    <xf numFmtId="0" fontId="20" fillId="8" borderId="4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right" vertical="top" wrapText="1"/>
    </xf>
    <xf numFmtId="4" fontId="20" fillId="8" borderId="5" xfId="0" applyNumberFormat="1" applyFont="1" applyFill="1" applyBorder="1" applyAlignment="1">
      <alignment horizontal="left" vertical="top" wrapText="1"/>
    </xf>
    <xf numFmtId="0" fontId="20" fillId="8" borderId="6" xfId="0" applyFont="1" applyFill="1" applyBorder="1" applyAlignment="1">
      <alignment horizontal="right" vertical="top" wrapText="1"/>
    </xf>
    <xf numFmtId="0" fontId="16" fillId="8" borderId="7" xfId="0" applyFont="1" applyFill="1" applyBorder="1" applyAlignment="1">
      <alignment horizontal="left" vertical="top" wrapText="1"/>
    </xf>
    <xf numFmtId="0" fontId="16" fillId="8" borderId="8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right" vertical="center" wrapText="1"/>
    </xf>
    <xf numFmtId="0" fontId="0" fillId="9" borderId="10" xfId="0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right" vertical="top" wrapText="1"/>
    </xf>
    <xf numFmtId="0" fontId="1" fillId="9" borderId="11" xfId="0" applyFont="1" applyFill="1" applyBorder="1" applyAlignment="1">
      <alignment horizontal="right" vertical="top" wrapText="1"/>
    </xf>
    <xf numFmtId="0" fontId="1" fillId="9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righ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right" vertical="center" wrapText="1"/>
    </xf>
    <xf numFmtId="4" fontId="1" fillId="9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right" vertical="top" wrapText="1"/>
    </xf>
    <xf numFmtId="0" fontId="2" fillId="9" borderId="7" xfId="0" applyFont="1" applyFill="1" applyBorder="1" applyAlignment="1">
      <alignment horizontal="left" vertical="top" wrapText="1"/>
    </xf>
    <xf numFmtId="0" fontId="22" fillId="0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2" fillId="0" borderId="1" xfId="0" applyFont="1" applyFill="1" applyBorder="1" applyProtection="1"/>
    <xf numFmtId="0" fontId="0" fillId="7" borderId="0" xfId="0" applyFill="1" applyProtection="1"/>
    <xf numFmtId="0" fontId="1" fillId="0" borderId="0" xfId="0" applyFont="1" applyAlignment="1">
      <alignment horizontal="left" vertical="center" wrapText="1"/>
    </xf>
    <xf numFmtId="0" fontId="0" fillId="8" borderId="9" xfId="0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right" vertical="center" wrapText="1"/>
    </xf>
    <xf numFmtId="0" fontId="0" fillId="8" borderId="6" xfId="0" applyFill="1" applyBorder="1"/>
    <xf numFmtId="0" fontId="1" fillId="8" borderId="10" xfId="0" applyFont="1" applyFill="1" applyBorder="1" applyAlignment="1">
      <alignment horizontal="left" vertical="top" wrapText="1"/>
    </xf>
    <xf numFmtId="4" fontId="1" fillId="8" borderId="10" xfId="0" applyNumberFormat="1" applyFont="1" applyFill="1" applyBorder="1" applyAlignment="1">
      <alignment horizontal="right" vertical="top" wrapText="1"/>
    </xf>
    <xf numFmtId="0" fontId="1" fillId="8" borderId="11" xfId="0" applyFont="1" applyFill="1" applyBorder="1" applyAlignment="1">
      <alignment horizontal="right" vertical="top" wrapText="1"/>
    </xf>
    <xf numFmtId="43" fontId="1" fillId="8" borderId="0" xfId="1" applyFont="1" applyFill="1" applyAlignment="1">
      <alignment horizontal="right" vertical="top" wrapText="1"/>
    </xf>
    <xf numFmtId="43" fontId="1" fillId="9" borderId="0" xfId="1" applyFont="1" applyFill="1" applyAlignment="1">
      <alignment horizontal="right" vertical="top" wrapText="1"/>
    </xf>
    <xf numFmtId="43" fontId="1" fillId="8" borderId="10" xfId="1" applyFont="1" applyFill="1" applyBorder="1" applyAlignment="1">
      <alignment horizontal="right" vertical="top" wrapText="1"/>
    </xf>
    <xf numFmtId="43" fontId="0" fillId="10" borderId="0" xfId="1" applyFont="1" applyFill="1"/>
    <xf numFmtId="43" fontId="1" fillId="10" borderId="0" xfId="1" applyFont="1" applyFill="1"/>
    <xf numFmtId="0" fontId="0" fillId="6" borderId="0" xfId="0" applyFill="1"/>
    <xf numFmtId="0" fontId="10" fillId="6" borderId="0" xfId="0" applyFont="1" applyFill="1"/>
    <xf numFmtId="0" fontId="2" fillId="6" borderId="0" xfId="0" applyFont="1" applyFill="1"/>
    <xf numFmtId="43" fontId="1" fillId="6" borderId="0" xfId="1" applyFont="1" applyFill="1"/>
    <xf numFmtId="43" fontId="2" fillId="6" borderId="1" xfId="1" applyFont="1" applyFill="1" applyBorder="1"/>
    <xf numFmtId="43" fontId="0" fillId="7" borderId="0" xfId="0" applyNumberFormat="1" applyFill="1"/>
    <xf numFmtId="166" fontId="0" fillId="0" borderId="0" xfId="1" applyNumberFormat="1" applyFont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3" applyAlignment="1">
      <alignment vertical="center" wrapText="1"/>
    </xf>
    <xf numFmtId="4" fontId="0" fillId="0" borderId="0" xfId="0" applyNumberForma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6" fillId="8" borderId="0" xfId="0" applyFont="1" applyFill="1" applyAlignment="1">
      <alignment horizontal="left" vertical="top" wrapText="1"/>
    </xf>
    <xf numFmtId="0" fontId="19" fillId="0" borderId="10" xfId="0" applyFont="1" applyBorder="1" applyAlignment="1">
      <alignment horizontal="left" vertical="center"/>
    </xf>
    <xf numFmtId="0" fontId="0" fillId="0" borderId="10" xfId="0" applyBorder="1"/>
    <xf numFmtId="0" fontId="0" fillId="8" borderId="9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0" fillId="8" borderId="0" xfId="0" applyFont="1" applyFill="1" applyAlignment="1">
      <alignment horizontal="left" vertical="top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1</xdr:row>
      <xdr:rowOff>0</xdr:rowOff>
    </xdr:to>
    <xdr:pic>
      <xdr:nvPicPr>
        <xdr:cNvPr id="3" name="Picture 2" descr="https://www.onlinewebconnect.com/CSWeb/Theming/Logos/Client/64127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52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about:blank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Y92"/>
  <sheetViews>
    <sheetView tabSelected="1" workbookViewId="0">
      <pane xSplit="3" ySplit="4" topLeftCell="D44" activePane="bottomRight" state="frozen"/>
      <selection pane="topRight" activeCell="G1" sqref="G1"/>
      <selection pane="bottomLeft" activeCell="A5" sqref="A5"/>
      <selection pane="bottomRight" activeCell="F57" sqref="F57"/>
    </sheetView>
  </sheetViews>
  <sheetFormatPr defaultRowHeight="12.75" x14ac:dyDescent="0.2"/>
  <cols>
    <col min="1" max="1" width="3.42578125" customWidth="1"/>
    <col min="2" max="2" width="24" bestFit="1" customWidth="1"/>
    <col min="3" max="3" width="36.28515625" customWidth="1"/>
    <col min="4" max="4" width="2.28515625" customWidth="1"/>
    <col min="5" max="5" width="20.28515625" customWidth="1"/>
    <col min="6" max="6" width="20.5703125" customWidth="1"/>
    <col min="7" max="7" width="12.140625" customWidth="1"/>
    <col min="8" max="8" width="2.28515625" customWidth="1"/>
    <col min="9" max="9" width="20.28515625" customWidth="1"/>
    <col min="10" max="10" width="20.5703125" customWidth="1"/>
    <col min="11" max="11" width="12.140625" customWidth="1"/>
    <col min="12" max="12" width="2.28515625" customWidth="1"/>
    <col min="13" max="13" width="18.42578125" customWidth="1"/>
    <col min="14" max="14" width="17.42578125" customWidth="1"/>
    <col min="15" max="15" width="15" customWidth="1"/>
    <col min="16" max="16" width="2" customWidth="1"/>
    <col min="17" max="17" width="18.42578125" customWidth="1"/>
    <col min="18" max="18" width="17.42578125" customWidth="1"/>
    <col min="19" max="19" width="15" customWidth="1"/>
    <col min="20" max="20" width="2" customWidth="1"/>
    <col min="21" max="21" width="11.28515625" bestFit="1" customWidth="1"/>
    <col min="22" max="22" width="14.42578125" bestFit="1" customWidth="1"/>
    <col min="23" max="23" width="12.28515625" customWidth="1"/>
    <col min="24" max="24" width="2" customWidth="1"/>
    <col min="25" max="25" width="11.28515625" bestFit="1" customWidth="1"/>
    <col min="26" max="26" width="14.42578125" bestFit="1" customWidth="1"/>
    <col min="27" max="27" width="12.28515625" customWidth="1"/>
    <col min="28" max="28" width="2" customWidth="1"/>
    <col min="29" max="29" width="11.28515625" bestFit="1" customWidth="1"/>
    <col min="30" max="30" width="14.42578125" bestFit="1" customWidth="1"/>
    <col min="31" max="31" width="12.28515625" customWidth="1"/>
    <col min="32" max="32" width="2" customWidth="1"/>
    <col min="33" max="33" width="15.7109375" customWidth="1"/>
    <col min="34" max="34" width="18" customWidth="1"/>
    <col min="35" max="35" width="14.85546875" customWidth="1"/>
    <col min="36" max="36" width="3.7109375" customWidth="1"/>
    <col min="37" max="37" width="15.7109375" customWidth="1"/>
    <col min="38" max="38" width="18" customWidth="1"/>
    <col min="39" max="39" width="12.5703125" customWidth="1"/>
    <col min="40" max="40" width="4.140625" customWidth="1"/>
    <col min="41" max="41" width="11.28515625" style="6" bestFit="1" customWidth="1"/>
    <col min="42" max="42" width="15.5703125" style="6" customWidth="1"/>
    <col min="43" max="43" width="11.42578125" style="6" bestFit="1" customWidth="1"/>
    <col min="44" max="44" width="3.28515625" style="6" customWidth="1"/>
    <col min="45" max="45" width="11.42578125" customWidth="1"/>
    <col min="46" max="46" width="14.140625" customWidth="1"/>
    <col min="47" max="47" width="13" style="1" customWidth="1"/>
    <col min="48" max="48" width="2.28515625" customWidth="1"/>
    <col min="49" max="49" width="11.28515625" bestFit="1" customWidth="1"/>
    <col min="50" max="50" width="11.28515625" style="3" customWidth="1"/>
    <col min="51" max="51" width="11.28515625" style="6" customWidth="1"/>
  </cols>
  <sheetData>
    <row r="1" spans="2:51" ht="18" x14ac:dyDescent="0.25">
      <c r="B1" s="9" t="s">
        <v>446</v>
      </c>
      <c r="AT1" s="1"/>
      <c r="AU1"/>
      <c r="AW1" s="2"/>
    </row>
    <row r="2" spans="2:51" x14ac:dyDescent="0.2">
      <c r="B2" s="1"/>
      <c r="F2" s="7" t="s">
        <v>35</v>
      </c>
      <c r="J2" s="7" t="s">
        <v>35</v>
      </c>
      <c r="N2" s="7" t="s">
        <v>35</v>
      </c>
      <c r="R2" s="7" t="s">
        <v>35</v>
      </c>
      <c r="V2" s="7" t="s">
        <v>35</v>
      </c>
      <c r="Z2" s="7" t="s">
        <v>35</v>
      </c>
      <c r="AD2" s="7" t="s">
        <v>35</v>
      </c>
      <c r="AH2" s="7" t="s">
        <v>35</v>
      </c>
      <c r="AL2" s="7" t="s">
        <v>35</v>
      </c>
      <c r="AO2" s="43"/>
      <c r="AP2" s="44" t="s">
        <v>35</v>
      </c>
      <c r="AQ2" s="43"/>
      <c r="AS2" s="10"/>
      <c r="AT2" s="33" t="s">
        <v>35</v>
      </c>
      <c r="AU2" s="10"/>
      <c r="AW2" s="11"/>
      <c r="AX2" s="12"/>
      <c r="AY2" s="13" t="s">
        <v>1</v>
      </c>
    </row>
    <row r="3" spans="2:51" x14ac:dyDescent="0.2">
      <c r="F3" s="7">
        <v>2021</v>
      </c>
      <c r="J3" s="7">
        <v>2020</v>
      </c>
      <c r="N3" s="7">
        <v>2019</v>
      </c>
      <c r="R3" s="7">
        <v>2018</v>
      </c>
      <c r="V3" s="7">
        <v>2017</v>
      </c>
      <c r="Z3" s="7">
        <v>2016</v>
      </c>
      <c r="AD3" s="7">
        <v>2015</v>
      </c>
      <c r="AH3" s="7">
        <v>2014</v>
      </c>
      <c r="AL3" s="7">
        <v>2013</v>
      </c>
      <c r="AO3" s="43"/>
      <c r="AP3" s="44">
        <v>2012</v>
      </c>
      <c r="AQ3" s="43"/>
      <c r="AS3" s="10"/>
      <c r="AT3" s="33">
        <v>2011</v>
      </c>
      <c r="AU3" s="10"/>
      <c r="AW3" s="11"/>
      <c r="AX3" s="12"/>
      <c r="AY3" s="14">
        <v>2010</v>
      </c>
    </row>
    <row r="4" spans="2:51" x14ac:dyDescent="0.2">
      <c r="E4" s="32" t="s">
        <v>2</v>
      </c>
      <c r="F4" s="7" t="s">
        <v>2</v>
      </c>
      <c r="G4" s="32" t="s">
        <v>2</v>
      </c>
      <c r="I4" s="32" t="s">
        <v>2</v>
      </c>
      <c r="J4" s="7" t="s">
        <v>2</v>
      </c>
      <c r="K4" s="32" t="s">
        <v>2</v>
      </c>
      <c r="M4" s="32" t="s">
        <v>2</v>
      </c>
      <c r="N4" s="7" t="s">
        <v>2</v>
      </c>
      <c r="O4" s="32" t="s">
        <v>2</v>
      </c>
      <c r="Q4" s="32" t="s">
        <v>2</v>
      </c>
      <c r="R4" s="7" t="s">
        <v>2</v>
      </c>
      <c r="S4" s="32" t="s">
        <v>2</v>
      </c>
      <c r="U4" s="32" t="s">
        <v>2</v>
      </c>
      <c r="V4" s="7" t="s">
        <v>2</v>
      </c>
      <c r="W4" s="32" t="s">
        <v>2</v>
      </c>
      <c r="Y4" s="32" t="s">
        <v>2</v>
      </c>
      <c r="Z4" s="7" t="s">
        <v>2</v>
      </c>
      <c r="AA4" s="32" t="s">
        <v>2</v>
      </c>
      <c r="AC4" s="32" t="s">
        <v>2</v>
      </c>
      <c r="AD4" s="7" t="s">
        <v>2</v>
      </c>
      <c r="AE4" s="32" t="s">
        <v>2</v>
      </c>
      <c r="AG4" s="32" t="s">
        <v>2</v>
      </c>
      <c r="AH4" s="7" t="s">
        <v>2</v>
      </c>
      <c r="AI4" s="32" t="s">
        <v>2</v>
      </c>
      <c r="AJ4" s="32"/>
      <c r="AK4" s="32" t="s">
        <v>2</v>
      </c>
      <c r="AL4" s="7" t="s">
        <v>2</v>
      </c>
      <c r="AM4" s="32" t="s">
        <v>2</v>
      </c>
      <c r="AN4" s="32"/>
      <c r="AO4" s="44" t="s">
        <v>2</v>
      </c>
      <c r="AP4" s="44" t="s">
        <v>2</v>
      </c>
      <c r="AQ4" s="44" t="s">
        <v>2</v>
      </c>
      <c r="AR4" s="35"/>
      <c r="AS4" s="33" t="s">
        <v>2</v>
      </c>
      <c r="AT4" s="33" t="s">
        <v>2</v>
      </c>
      <c r="AU4" s="33" t="s">
        <v>2</v>
      </c>
      <c r="AV4" s="32"/>
      <c r="AW4" s="34"/>
      <c r="AX4" s="16" t="s">
        <v>2</v>
      </c>
      <c r="AY4" s="13" t="s">
        <v>2</v>
      </c>
    </row>
    <row r="5" spans="2:51" x14ac:dyDescent="0.2">
      <c r="B5" s="1" t="s">
        <v>3</v>
      </c>
      <c r="AO5" s="43"/>
      <c r="AP5" s="43"/>
      <c r="AQ5" s="43"/>
      <c r="AS5" s="28"/>
      <c r="AT5" s="28"/>
      <c r="AU5" s="28"/>
      <c r="AW5" s="15"/>
      <c r="AX5" s="11"/>
      <c r="AY5" s="13"/>
    </row>
    <row r="6" spans="2:51" x14ac:dyDescent="0.2">
      <c r="B6" s="1" t="s">
        <v>4</v>
      </c>
      <c r="AH6" s="2"/>
      <c r="AL6" s="2"/>
      <c r="AO6" s="43"/>
      <c r="AP6" s="43"/>
      <c r="AQ6" s="43"/>
      <c r="AS6" s="28"/>
      <c r="AT6" s="28"/>
      <c r="AU6" s="28"/>
      <c r="AW6" s="15"/>
      <c r="AX6" s="11"/>
      <c r="AY6" s="13"/>
    </row>
    <row r="7" spans="2:51" x14ac:dyDescent="0.2">
      <c r="C7" t="s">
        <v>42</v>
      </c>
      <c r="V7" s="2"/>
      <c r="Z7" s="2"/>
      <c r="AD7" s="2"/>
      <c r="AH7" s="2"/>
      <c r="AL7" s="2"/>
      <c r="AO7" s="43"/>
      <c r="AP7" s="45"/>
      <c r="AQ7" s="43"/>
      <c r="AS7" s="28"/>
      <c r="AT7" s="28"/>
      <c r="AU7" s="28"/>
      <c r="AW7" s="11"/>
      <c r="AX7" s="11">
        <v>167392.64000000001</v>
      </c>
      <c r="AY7" s="13"/>
    </row>
    <row r="8" spans="2:51" x14ac:dyDescent="0.2">
      <c r="C8" t="s">
        <v>29</v>
      </c>
      <c r="V8" s="2"/>
      <c r="Z8" s="2"/>
      <c r="AD8" s="2"/>
      <c r="AH8" s="2"/>
      <c r="AL8" s="2"/>
      <c r="AO8" s="43"/>
      <c r="AP8" s="45"/>
      <c r="AQ8" s="43"/>
      <c r="AS8" s="28"/>
      <c r="AT8" s="28"/>
      <c r="AU8" s="28"/>
      <c r="AW8" s="11"/>
      <c r="AX8" s="11">
        <v>29090.25</v>
      </c>
      <c r="AY8" s="13">
        <f>+AX7+AX8</f>
        <v>196482.89</v>
      </c>
    </row>
    <row r="9" spans="2:51" x14ac:dyDescent="0.2">
      <c r="B9" s="1" t="s">
        <v>5</v>
      </c>
      <c r="V9" s="2"/>
      <c r="Z9" s="2"/>
      <c r="AD9" s="2"/>
      <c r="AH9" s="2"/>
      <c r="AL9" s="2"/>
      <c r="AO9" s="43"/>
      <c r="AP9" s="45"/>
      <c r="AQ9" s="43"/>
      <c r="AS9" s="28"/>
      <c r="AT9" s="28"/>
      <c r="AU9" s="28"/>
      <c r="AW9" s="11"/>
      <c r="AX9" s="11"/>
      <c r="AY9" s="13"/>
    </row>
    <row r="10" spans="2:51" x14ac:dyDescent="0.2">
      <c r="C10" t="s">
        <v>42</v>
      </c>
      <c r="F10" s="200">
        <v>10000</v>
      </c>
      <c r="J10" s="200">
        <v>10000</v>
      </c>
      <c r="N10">
        <f>+'Receipts &amp; Payments 2019'!D19/2</f>
        <v>6739</v>
      </c>
      <c r="R10">
        <f>1528+5000</f>
        <v>6528</v>
      </c>
      <c r="V10" s="2">
        <v>6400</v>
      </c>
      <c r="Z10" s="2">
        <v>1250</v>
      </c>
      <c r="AD10" s="2">
        <v>1250</v>
      </c>
      <c r="AH10" s="2">
        <v>120</v>
      </c>
      <c r="AL10" s="2">
        <v>3500</v>
      </c>
      <c r="AO10" s="43"/>
      <c r="AP10" s="45">
        <v>13200</v>
      </c>
      <c r="AQ10" s="43"/>
      <c r="AS10" s="28"/>
      <c r="AT10" s="28">
        <v>26500</v>
      </c>
      <c r="AU10" s="28"/>
      <c r="AW10" s="11"/>
      <c r="AX10" s="11">
        <v>24665</v>
      </c>
      <c r="AY10" s="13"/>
    </row>
    <row r="11" spans="2:51" x14ac:dyDescent="0.2">
      <c r="C11" t="s">
        <v>29</v>
      </c>
      <c r="F11" s="200">
        <f>+F10</f>
        <v>10000</v>
      </c>
      <c r="J11" s="200">
        <f>+J10</f>
        <v>10000</v>
      </c>
      <c r="N11">
        <f>+N10</f>
        <v>6739</v>
      </c>
      <c r="R11">
        <f>1528+5000</f>
        <v>6528</v>
      </c>
      <c r="V11" s="2">
        <v>6400</v>
      </c>
      <c r="Z11" s="2">
        <v>6250</v>
      </c>
      <c r="AD11" s="2">
        <v>6550</v>
      </c>
      <c r="AH11" s="2">
        <v>5990</v>
      </c>
      <c r="AL11" s="2">
        <v>3500</v>
      </c>
      <c r="AO11" s="43"/>
      <c r="AP11" s="45">
        <v>7755</v>
      </c>
      <c r="AQ11" s="43"/>
      <c r="AS11" s="28"/>
      <c r="AT11" s="28">
        <v>5275</v>
      </c>
      <c r="AU11" s="28"/>
      <c r="AW11" s="11"/>
      <c r="AX11" s="11">
        <v>4472</v>
      </c>
      <c r="AY11" s="13">
        <f>+AX10+AX11</f>
        <v>29137</v>
      </c>
    </row>
    <row r="12" spans="2:51" x14ac:dyDescent="0.2">
      <c r="B12" s="1" t="s">
        <v>6</v>
      </c>
      <c r="V12" s="2"/>
      <c r="Z12" s="2"/>
      <c r="AD12" s="2"/>
      <c r="AH12" s="2"/>
      <c r="AL12" s="2"/>
      <c r="AO12" s="43"/>
      <c r="AP12" s="45"/>
      <c r="AQ12" s="43"/>
      <c r="AS12" s="28"/>
      <c r="AT12" s="28"/>
      <c r="AU12" s="28"/>
      <c r="AW12" s="11"/>
      <c r="AX12" s="11"/>
      <c r="AY12" s="13"/>
    </row>
    <row r="13" spans="2:51" x14ac:dyDescent="0.2">
      <c r="C13" t="s">
        <v>42</v>
      </c>
      <c r="V13" s="2"/>
      <c r="Z13" s="2"/>
      <c r="AD13" s="2"/>
      <c r="AH13" s="2">
        <v>0</v>
      </c>
      <c r="AL13" s="2">
        <v>0</v>
      </c>
      <c r="AO13" s="43"/>
      <c r="AP13" s="45">
        <v>6056.28</v>
      </c>
      <c r="AQ13" s="43"/>
      <c r="AS13" s="28"/>
      <c r="AT13" s="28">
        <v>8075.04</v>
      </c>
      <c r="AU13" s="28"/>
      <c r="AW13" s="11"/>
      <c r="AX13" s="11">
        <v>3364.5</v>
      </c>
      <c r="AY13" s="13"/>
    </row>
    <row r="14" spans="2:51" x14ac:dyDescent="0.2">
      <c r="C14" t="s">
        <v>29</v>
      </c>
      <c r="F14" s="8"/>
      <c r="J14" s="8">
        <f>+'Receipts &amp; Payments 2020'!G19</f>
        <v>5000</v>
      </c>
      <c r="N14" s="8">
        <f>+'Receipts &amp; Payments 2019'!C19</f>
        <v>5000</v>
      </c>
      <c r="V14" s="2"/>
      <c r="Z14" s="2"/>
      <c r="AD14" s="2"/>
      <c r="AH14" s="2">
        <v>0</v>
      </c>
      <c r="AL14" s="2">
        <v>0</v>
      </c>
      <c r="AO14" s="43"/>
      <c r="AP14" s="45"/>
      <c r="AQ14" s="43"/>
      <c r="AS14" s="28"/>
      <c r="AT14" s="28">
        <v>2000</v>
      </c>
      <c r="AU14" s="28"/>
      <c r="AW14" s="11"/>
      <c r="AX14" s="11">
        <v>0</v>
      </c>
      <c r="AY14" s="13">
        <f>+AX13+AX14</f>
        <v>3364.5</v>
      </c>
    </row>
    <row r="15" spans="2:51" x14ac:dyDescent="0.2">
      <c r="B15" s="1" t="s">
        <v>7</v>
      </c>
      <c r="V15" s="2"/>
      <c r="Z15" s="2"/>
      <c r="AD15" s="2"/>
      <c r="AH15" s="2"/>
      <c r="AL15" s="2"/>
      <c r="AO15" s="43"/>
      <c r="AP15" s="45"/>
      <c r="AQ15" s="43"/>
      <c r="AS15" s="28"/>
      <c r="AT15" s="28"/>
      <c r="AU15" s="28"/>
      <c r="AW15" s="11"/>
      <c r="AX15" s="11"/>
      <c r="AY15" s="13"/>
    </row>
    <row r="16" spans="2:51" x14ac:dyDescent="0.2">
      <c r="C16" t="s">
        <v>42</v>
      </c>
      <c r="F16" s="2">
        <f>+F10/0.8*0.2</f>
        <v>2500</v>
      </c>
      <c r="J16" s="2">
        <f>+J10/0.8*0.2</f>
        <v>2500</v>
      </c>
      <c r="N16" s="2">
        <f>+N10/0.8*0.2</f>
        <v>1684.75</v>
      </c>
      <c r="R16" s="2">
        <f>+R10/0.8*0.2</f>
        <v>1632</v>
      </c>
      <c r="V16" s="2">
        <f>+V10/0.8*0.2</f>
        <v>1600</v>
      </c>
      <c r="Z16" s="2">
        <f>+Z10/0.8*0.2</f>
        <v>312.5</v>
      </c>
      <c r="AD16" s="2">
        <f>+AD10/0.8*0.2</f>
        <v>312.5</v>
      </c>
      <c r="AH16" s="2">
        <f>+AH10/0.8*0.2</f>
        <v>30</v>
      </c>
      <c r="AL16" s="2">
        <f>+AL10/0.8*0.2</f>
        <v>875</v>
      </c>
      <c r="AO16" s="43"/>
      <c r="AP16" s="45">
        <f>+AP10/0.8-AP10</f>
        <v>3300</v>
      </c>
      <c r="AQ16" s="43"/>
      <c r="AS16" s="28"/>
      <c r="AT16" s="28">
        <v>6625</v>
      </c>
      <c r="AU16" s="28"/>
      <c r="AW16" s="11"/>
      <c r="AX16" s="11">
        <v>6166.25</v>
      </c>
      <c r="AY16" s="13"/>
    </row>
    <row r="17" spans="2:51" x14ac:dyDescent="0.2">
      <c r="C17" t="s">
        <v>29</v>
      </c>
      <c r="F17" s="2">
        <f>+F11/0.8*0.2</f>
        <v>2500</v>
      </c>
      <c r="J17" s="2">
        <f>+J11/0.8*0.2</f>
        <v>2500</v>
      </c>
      <c r="N17" s="2">
        <f>+N11/0.8*0.2</f>
        <v>1684.75</v>
      </c>
      <c r="R17" s="2">
        <f>+R11/0.8*0.2</f>
        <v>1632</v>
      </c>
      <c r="V17" s="2">
        <f>+V11/0.8*0.2</f>
        <v>1600</v>
      </c>
      <c r="Z17" s="2">
        <f>+Z11/0.8*0.2</f>
        <v>1562.5</v>
      </c>
      <c r="AD17" s="2">
        <f>+AD11/0.8*0.2</f>
        <v>1637.5</v>
      </c>
      <c r="AH17" s="2">
        <f>+AH11/0.8*0.2</f>
        <v>1497.5</v>
      </c>
      <c r="AL17" s="2">
        <f>+AL11/0.8*0.2</f>
        <v>875</v>
      </c>
      <c r="AO17" s="43"/>
      <c r="AP17" s="45">
        <f>+AP11/0.8-AP11</f>
        <v>1938.75</v>
      </c>
      <c r="AQ17" s="43"/>
      <c r="AS17" s="28"/>
      <c r="AT17" s="28">
        <v>1318.75</v>
      </c>
      <c r="AU17" s="28"/>
      <c r="AW17" s="11"/>
      <c r="AX17" s="17">
        <v>1118</v>
      </c>
      <c r="AY17" s="18">
        <f>+AX16+AX17</f>
        <v>7284.25</v>
      </c>
    </row>
    <row r="18" spans="2:51" x14ac:dyDescent="0.2">
      <c r="AH18" s="2"/>
      <c r="AL18" s="2"/>
      <c r="AO18" s="43"/>
      <c r="AP18" s="45"/>
      <c r="AQ18" s="43"/>
      <c r="AS18" s="28"/>
      <c r="AT18" s="28"/>
      <c r="AU18" s="28"/>
      <c r="AW18" s="11"/>
      <c r="AX18" s="11"/>
      <c r="AY18" s="13"/>
    </row>
    <row r="19" spans="2:51" ht="13.5" thickBot="1" x14ac:dyDescent="0.25">
      <c r="C19" s="1" t="s">
        <v>8</v>
      </c>
      <c r="D19" s="1"/>
      <c r="E19" s="1"/>
      <c r="F19" s="5">
        <f>SUM(F8:F18)</f>
        <v>25000</v>
      </c>
      <c r="G19" s="1"/>
      <c r="H19" s="1"/>
      <c r="I19" s="1"/>
      <c r="J19" s="5">
        <f>SUM(J8:J18)</f>
        <v>30000</v>
      </c>
      <c r="K19" s="1"/>
      <c r="L19" s="1"/>
      <c r="M19" s="1"/>
      <c r="N19" s="5">
        <f>SUM(N8:N18)</f>
        <v>21847.5</v>
      </c>
      <c r="O19" s="1"/>
      <c r="P19" s="1"/>
      <c r="Q19" s="1"/>
      <c r="R19" s="5">
        <f>SUM(R8:R18)</f>
        <v>16320</v>
      </c>
      <c r="S19" s="1"/>
      <c r="T19" s="1"/>
      <c r="U19" s="1"/>
      <c r="V19" s="5">
        <f>SUM(V8:V18)</f>
        <v>16000</v>
      </c>
      <c r="W19" s="1"/>
      <c r="X19" s="1"/>
      <c r="Y19" s="1"/>
      <c r="Z19" s="5">
        <f>SUM(Z8:Z18)</f>
        <v>9375</v>
      </c>
      <c r="AA19" s="1"/>
      <c r="AB19" s="1"/>
      <c r="AC19" s="1"/>
      <c r="AD19" s="5">
        <f>SUM(AD8:AD18)</f>
        <v>9750</v>
      </c>
      <c r="AE19" s="1"/>
      <c r="AF19" s="1"/>
      <c r="AG19" s="1"/>
      <c r="AH19" s="5">
        <f>SUM(AH8:AH18)</f>
        <v>7637.5</v>
      </c>
      <c r="AI19" s="1"/>
      <c r="AJ19" s="1"/>
      <c r="AK19" s="1"/>
      <c r="AL19" s="5">
        <f>SUM(AL8:AL18)</f>
        <v>8750</v>
      </c>
      <c r="AM19" s="1"/>
      <c r="AN19" s="1"/>
      <c r="AO19" s="43"/>
      <c r="AP19" s="46">
        <f>SUM(AP8:AP18)</f>
        <v>32250.03</v>
      </c>
      <c r="AQ19" s="43"/>
      <c r="AS19" s="28"/>
      <c r="AT19" s="29">
        <v>49793.79</v>
      </c>
      <c r="AU19" s="28"/>
      <c r="AW19" s="11"/>
      <c r="AX19" s="11"/>
      <c r="AY19" s="18">
        <f>SUM(AY8:AY18)</f>
        <v>236268.64</v>
      </c>
    </row>
    <row r="20" spans="2:51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4"/>
      <c r="AI20" s="1"/>
      <c r="AJ20" s="1"/>
      <c r="AK20" s="1"/>
      <c r="AL20" s="4"/>
      <c r="AM20" s="1"/>
      <c r="AN20" s="1"/>
      <c r="AO20" s="43"/>
      <c r="AP20" s="47"/>
      <c r="AQ20" s="43"/>
      <c r="AS20" s="28"/>
      <c r="AT20" s="28"/>
      <c r="AU20" s="28"/>
      <c r="AW20" s="11"/>
      <c r="AX20" s="11"/>
      <c r="AY20" s="19"/>
    </row>
    <row r="21" spans="2:51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4"/>
      <c r="AI21" s="1"/>
      <c r="AJ21" s="1"/>
      <c r="AK21" s="1"/>
      <c r="AL21" s="4"/>
      <c r="AM21" s="1"/>
      <c r="AN21" s="1"/>
      <c r="AO21" s="43"/>
      <c r="AP21" s="47"/>
      <c r="AQ21" s="43"/>
      <c r="AS21" s="28"/>
      <c r="AT21" s="28"/>
      <c r="AU21" s="28"/>
      <c r="AW21" s="11"/>
      <c r="AX21" s="11"/>
      <c r="AY21" s="19"/>
    </row>
    <row r="22" spans="2:51" x14ac:dyDescent="0.2">
      <c r="C22" t="s">
        <v>34</v>
      </c>
      <c r="F22" s="2">
        <f>+'Receipts &amp; Payments 2020'!A19</f>
        <v>0</v>
      </c>
      <c r="J22" s="2">
        <f>+'Receipts &amp; Payments 2020'!E19</f>
        <v>2812.5</v>
      </c>
      <c r="N22" s="2">
        <f>+'Receipts &amp; Payments 2019'!E19</f>
        <v>2625</v>
      </c>
      <c r="R22" s="2">
        <f>19.5*125</f>
        <v>2437.5</v>
      </c>
      <c r="V22" s="2">
        <v>2250</v>
      </c>
      <c r="Z22" s="2">
        <v>2000</v>
      </c>
      <c r="AD22" s="2">
        <f>+'Receipts &amp; Payments 2015'!G105</f>
        <v>1500</v>
      </c>
      <c r="AH22" s="60">
        <v>1125</v>
      </c>
      <c r="AL22" s="2">
        <v>875</v>
      </c>
      <c r="AO22" s="43"/>
      <c r="AP22" s="45">
        <v>800</v>
      </c>
      <c r="AQ22" s="43"/>
      <c r="AS22" s="28"/>
      <c r="AT22" s="28">
        <v>500</v>
      </c>
      <c r="AU22" s="28"/>
      <c r="AW22" s="11"/>
      <c r="AX22" s="12"/>
      <c r="AY22" s="22"/>
    </row>
    <row r="23" spans="2:51" x14ac:dyDescent="0.2">
      <c r="C23" t="s">
        <v>38</v>
      </c>
      <c r="F23" s="2"/>
      <c r="J23" s="2">
        <v>5372.97</v>
      </c>
      <c r="N23" s="2">
        <v>5965.3</v>
      </c>
      <c r="R23" s="2">
        <v>1649.73</v>
      </c>
      <c r="V23" s="2">
        <f>3997.17+2.01</f>
        <v>3999.1800000000003</v>
      </c>
      <c r="Z23" s="2">
        <v>6395.9</v>
      </c>
      <c r="AD23" s="2">
        <f>+'Receipts &amp; Payments 2015'!K105+'Receipts &amp; Payments 2015'!F42</f>
        <v>1412.7399999999998</v>
      </c>
      <c r="AH23" s="2">
        <f>1315.02+17.99</f>
        <v>1333.01</v>
      </c>
      <c r="AL23" s="2">
        <f>1.76+304.76+48.34+222.88+158.03+723.84+381.21+132.01+46.17+162.29+1.9+48.24+72.23+149.76+68.85+766.59+19</f>
        <v>3307.86</v>
      </c>
      <c r="AO23" s="43"/>
      <c r="AP23" s="45">
        <v>3174.18</v>
      </c>
      <c r="AQ23" s="43"/>
      <c r="AS23" s="28"/>
      <c r="AT23" s="28">
        <f>1350.9+0.94</f>
        <v>1351.8400000000001</v>
      </c>
      <c r="AU23" s="28"/>
      <c r="AW23" s="11"/>
      <c r="AX23" s="12"/>
      <c r="AY23" s="22"/>
    </row>
    <row r="24" spans="2:51" x14ac:dyDescent="0.2">
      <c r="C24" s="50" t="s">
        <v>55</v>
      </c>
      <c r="D24" s="50"/>
      <c r="E24" s="50"/>
      <c r="F24" s="54">
        <v>0</v>
      </c>
      <c r="G24" s="50"/>
      <c r="H24" s="50"/>
      <c r="I24" s="50"/>
      <c r="J24" s="54">
        <v>0</v>
      </c>
      <c r="K24" s="50"/>
      <c r="L24" s="50"/>
      <c r="M24" s="50"/>
      <c r="N24" s="54">
        <v>0</v>
      </c>
      <c r="O24" s="50"/>
      <c r="P24" s="50"/>
      <c r="Q24" s="50"/>
      <c r="R24" s="54">
        <v>0</v>
      </c>
      <c r="S24" s="50"/>
      <c r="T24" s="50"/>
      <c r="U24" s="50"/>
      <c r="V24" s="54">
        <v>0</v>
      </c>
      <c r="W24" s="50"/>
      <c r="X24" s="50"/>
      <c r="Y24" s="50"/>
      <c r="Z24" s="54">
        <v>0</v>
      </c>
      <c r="AA24" s="50"/>
      <c r="AB24" s="50"/>
      <c r="AC24" s="50"/>
      <c r="AD24" s="54">
        <v>776.44</v>
      </c>
      <c r="AE24" s="50"/>
      <c r="AF24" s="50"/>
      <c r="AH24" s="2">
        <v>1706.32</v>
      </c>
      <c r="AL24" s="2">
        <f>2348.18+110.47</f>
        <v>2458.6499999999996</v>
      </c>
      <c r="AO24" s="43"/>
      <c r="AP24" s="45">
        <v>3364.36</v>
      </c>
      <c r="AQ24" s="43"/>
      <c r="AS24" s="28"/>
      <c r="AT24" s="28">
        <f>151.74+127.07</f>
        <v>278.81</v>
      </c>
      <c r="AU24" s="28"/>
      <c r="AW24" s="11"/>
      <c r="AX24" s="12"/>
      <c r="AY24" s="22"/>
    </row>
    <row r="25" spans="2:51" x14ac:dyDescent="0.2">
      <c r="C25" t="s">
        <v>39</v>
      </c>
      <c r="F25" s="2"/>
      <c r="J25" s="2">
        <v>10000</v>
      </c>
      <c r="N25" s="2"/>
      <c r="R25" s="2">
        <f>-1398.62-54.47</f>
        <v>-1453.09</v>
      </c>
      <c r="V25" s="2">
        <f>+'Share account 5-4-17'!N103</f>
        <v>25938.606666666667</v>
      </c>
      <c r="Z25" s="2">
        <f>+(4242-3458)+(7973.95-5130-2528.84)+(9162.23-8518.12)+(11307.68-9740)+(7418.34-7058)+(1280+6700.64-5000-4997.31)+(8907.75-8494.25)+(9526.46-8948)+(12406.58-4735.27-4605.88)-(1328-3992.52-1070)</f>
        <v>9446.4799999999977</v>
      </c>
      <c r="AD25" s="2">
        <f>8559.34+291+12652.24+11723.47+287.18+136.69+20.76+2591.53+123.98+1686+148.4+204+1022+20386.24-221.93</f>
        <v>59610.900000000016</v>
      </c>
      <c r="AH25" s="2">
        <f>54.91+430.67+946.89+437.18+379.16+837.14+2512.66+117.04+2540.38+7703.23+5501.7+239.37+20+1658.82+3985.21+2911.23+505.09+674.14+323.53+887.6+890.22+287.94</f>
        <v>33844.109999999993</v>
      </c>
      <c r="AL25" s="2">
        <f>-7498.1+59.45+672.92+684.84+279.09+385.71+417.82+59.45+84.41+292.56+302.16+254.82+462.11+95.24+6145.85+796.82+277.05+1258.95+1316.91+1575.84+1517.08+953.83+622.67+2079.55+127.48</f>
        <v>13224.509999999998</v>
      </c>
      <c r="AO25" s="43"/>
      <c r="AP25" s="45">
        <v>19803.34</v>
      </c>
      <c r="AQ25" s="43"/>
      <c r="AS25" s="28"/>
      <c r="AT25" s="28">
        <v>24815.73</v>
      </c>
      <c r="AU25" s="28"/>
      <c r="AW25" s="11"/>
      <c r="AX25" s="12"/>
      <c r="AY25" s="22"/>
    </row>
    <row r="26" spans="2:51" x14ac:dyDescent="0.2">
      <c r="C26" t="s">
        <v>52</v>
      </c>
      <c r="F26" s="59"/>
      <c r="G26" s="8">
        <f>+F63-G79</f>
        <v>-129884.26370735676</v>
      </c>
      <c r="J26" s="59">
        <v>-14608.36</v>
      </c>
      <c r="K26" s="8">
        <f>+J63-K79</f>
        <v>0.29629264323739335</v>
      </c>
      <c r="N26" s="59">
        <v>-18292.939999999999</v>
      </c>
      <c r="O26" s="8">
        <f>+N63-O79</f>
        <v>-3.7073567509651184E-3</v>
      </c>
      <c r="R26" s="59">
        <v>6733.18</v>
      </c>
      <c r="S26" s="8">
        <f>+R63-S79</f>
        <v>-3.7073567509651184E-3</v>
      </c>
      <c r="V26" s="59">
        <v>-32371.71</v>
      </c>
      <c r="W26" s="8">
        <f>+V63-W79</f>
        <v>-3.7073566927574575E-3</v>
      </c>
      <c r="Z26" s="59">
        <v>-25744.959999999999</v>
      </c>
      <c r="AA26" s="8">
        <f>+Z63-AA79</f>
        <v>-1.4781900099478662E-3</v>
      </c>
      <c r="AD26" s="59">
        <f>+'Share costs 5-4-15'!E85</f>
        <v>-57325.212959310011</v>
      </c>
      <c r="AE26" s="8">
        <f>+AD63-AE79</f>
        <v>2.9593099607154727E-3</v>
      </c>
      <c r="AH26" s="2">
        <v>23045.97</v>
      </c>
      <c r="AL26" s="2">
        <v>8729.61</v>
      </c>
      <c r="AO26" s="43"/>
      <c r="AP26" s="45">
        <v>-28899.31</v>
      </c>
      <c r="AQ26" s="43"/>
      <c r="AS26" s="28"/>
      <c r="AT26" s="28"/>
      <c r="AU26" s="28"/>
      <c r="AW26" s="11"/>
      <c r="AX26" s="12"/>
      <c r="AY26" s="22"/>
    </row>
    <row r="27" spans="2:51" x14ac:dyDescent="0.2">
      <c r="C27" t="s">
        <v>9</v>
      </c>
      <c r="F27" s="2">
        <f>+'Receipts &amp; Payments 2020'!F19</f>
        <v>0</v>
      </c>
      <c r="J27" s="2">
        <f>+'Receipts &amp; Payments 2020'!J19</f>
        <v>16.060000000000002</v>
      </c>
      <c r="N27" s="2">
        <f>+'Receipts &amp; Payments 2019'!J19</f>
        <v>11.75</v>
      </c>
      <c r="R27" s="2">
        <f>+'Receipts And Payements 2018'!F19</f>
        <v>1194.24</v>
      </c>
      <c r="V27" s="2">
        <v>1.1599999999999999</v>
      </c>
      <c r="Z27" s="2">
        <f>+'Receipts &amp; Payments 2016'!F19</f>
        <v>5.9099999999999993</v>
      </c>
      <c r="AD27" s="2">
        <v>8.83</v>
      </c>
      <c r="AH27" s="2">
        <f>5.36+1.07</f>
        <v>6.4300000000000006</v>
      </c>
      <c r="AL27" s="2">
        <v>198.47</v>
      </c>
      <c r="AO27" s="43"/>
      <c r="AP27" s="45">
        <v>206.44</v>
      </c>
      <c r="AQ27" s="43"/>
      <c r="AS27" s="28"/>
      <c r="AT27" s="28">
        <v>1538.84</v>
      </c>
      <c r="AU27" s="28"/>
      <c r="AW27" s="11"/>
      <c r="AX27" s="12"/>
      <c r="AY27" s="26">
        <v>151.88999999999999</v>
      </c>
    </row>
    <row r="28" spans="2:51" ht="13.5" thickBot="1" x14ac:dyDescent="0.25">
      <c r="C28" s="1" t="s">
        <v>40</v>
      </c>
      <c r="D28" s="1"/>
      <c r="E28" s="1"/>
      <c r="F28" s="5">
        <f>SUM(F22:F27)</f>
        <v>0</v>
      </c>
      <c r="G28" s="1"/>
      <c r="H28" s="1"/>
      <c r="I28" s="1"/>
      <c r="J28" s="5">
        <f>SUM(J22:J27)</f>
        <v>3593.1700000000005</v>
      </c>
      <c r="K28" s="1"/>
      <c r="L28" s="1"/>
      <c r="M28" s="1"/>
      <c r="N28" s="5">
        <f>SUM(N22:N27)</f>
        <v>-9690.89</v>
      </c>
      <c r="O28" s="1"/>
      <c r="P28" s="1"/>
      <c r="Q28" s="1"/>
      <c r="R28" s="5">
        <f>SUM(R22:R27)</f>
        <v>10561.56</v>
      </c>
      <c r="S28" s="1"/>
      <c r="T28" s="1"/>
      <c r="U28" s="1"/>
      <c r="V28" s="5">
        <f>SUM(V22:V27)</f>
        <v>-182.76333333333227</v>
      </c>
      <c r="W28" s="1"/>
      <c r="X28" s="1"/>
      <c r="Y28" s="1"/>
      <c r="Z28" s="5">
        <f>SUM(Z22:Z27)</f>
        <v>-7896.6700000000019</v>
      </c>
      <c r="AA28" s="1"/>
      <c r="AB28" s="1"/>
      <c r="AC28" s="1"/>
      <c r="AD28" s="5">
        <f>SUM(AD22:AD27)</f>
        <v>5983.6970406900055</v>
      </c>
      <c r="AE28" s="1"/>
      <c r="AF28" s="1"/>
      <c r="AG28" s="1"/>
      <c r="AH28" s="5">
        <f>SUM(AH22:AH27)</f>
        <v>61060.84</v>
      </c>
      <c r="AI28" s="1"/>
      <c r="AJ28" s="1"/>
      <c r="AK28" s="1"/>
      <c r="AL28" s="5">
        <f>SUM(AL22:AL27)</f>
        <v>28794.1</v>
      </c>
      <c r="AM28" s="1"/>
      <c r="AN28" s="1"/>
      <c r="AO28" s="43"/>
      <c r="AP28" s="46">
        <f>SUM(AP22:AP27)</f>
        <v>-1550.9900000000002</v>
      </c>
      <c r="AQ28" s="43"/>
      <c r="AS28" s="28"/>
      <c r="AT28" s="29">
        <f>SUM(AT22:AT27)</f>
        <v>28485.22</v>
      </c>
      <c r="AU28" s="28"/>
      <c r="AW28" s="11"/>
      <c r="AX28" s="12"/>
      <c r="AY28" s="23">
        <f>+AY19+AY27</f>
        <v>236420.53000000003</v>
      </c>
    </row>
    <row r="29" spans="2:51" ht="13.5" thickTop="1" x14ac:dyDescent="0.2">
      <c r="B29" s="1" t="s">
        <v>10</v>
      </c>
      <c r="G29" t="s">
        <v>211</v>
      </c>
      <c r="K29" t="s">
        <v>211</v>
      </c>
      <c r="O29" t="s">
        <v>211</v>
      </c>
      <c r="S29" t="s">
        <v>211</v>
      </c>
      <c r="W29" t="s">
        <v>211</v>
      </c>
      <c r="AA29" t="s">
        <v>211</v>
      </c>
      <c r="AE29" t="s">
        <v>211</v>
      </c>
      <c r="AH29" s="2"/>
      <c r="AI29" t="s">
        <v>211</v>
      </c>
      <c r="AL29" s="2"/>
      <c r="AO29" s="43"/>
      <c r="AP29" s="45"/>
      <c r="AQ29" s="43"/>
      <c r="AS29" s="28"/>
      <c r="AT29" s="28"/>
      <c r="AU29" s="28"/>
      <c r="AW29" s="11"/>
      <c r="AX29" s="12"/>
      <c r="AY29" s="22"/>
    </row>
    <row r="30" spans="2:51" x14ac:dyDescent="0.2">
      <c r="G30" s="8">
        <f>+F19-F37</f>
        <v>23833.01</v>
      </c>
      <c r="K30" s="8">
        <f>+J19-J37</f>
        <v>28673.11</v>
      </c>
      <c r="O30" s="8">
        <f>+N19-N37</f>
        <v>15538.810000000001</v>
      </c>
      <c r="S30" s="8">
        <f>+R19-R37</f>
        <v>9972.84</v>
      </c>
      <c r="W30" s="8">
        <f>+V19-V37</f>
        <v>9631.84</v>
      </c>
      <c r="AA30" s="8">
        <f>+Z19+Z22+Z23+Z24+Z27+Z37</f>
        <v>24167.590000000004</v>
      </c>
      <c r="AE30" s="8">
        <f>+AD19+AD22+AD23+AD24+AD27+AD37</f>
        <v>19915.060000000001</v>
      </c>
      <c r="AH30" s="2"/>
      <c r="AI30" s="8">
        <f>+AH19+AH22+AH23+AH24+AH27+AH37</f>
        <v>18016.239999999998</v>
      </c>
      <c r="AL30" s="2"/>
      <c r="AO30" s="43"/>
      <c r="AP30" s="45"/>
      <c r="AQ30" s="43"/>
      <c r="AS30" s="28"/>
      <c r="AT30" s="28"/>
      <c r="AU30" s="28"/>
      <c r="AW30" s="11"/>
      <c r="AX30" s="12"/>
      <c r="AY30" s="22"/>
    </row>
    <row r="31" spans="2:51" x14ac:dyDescent="0.2">
      <c r="C31" t="s">
        <v>11</v>
      </c>
      <c r="AH31" s="2"/>
      <c r="AL31" s="2"/>
      <c r="AO31" s="43">
        <v>0</v>
      </c>
      <c r="AP31" s="45"/>
      <c r="AQ31" s="43"/>
      <c r="AS31" s="28">
        <v>0</v>
      </c>
      <c r="AT31" s="28"/>
      <c r="AU31" s="28"/>
      <c r="AW31" s="11"/>
      <c r="AX31" s="13">
        <v>1175</v>
      </c>
      <c r="AY31" s="22"/>
    </row>
    <row r="32" spans="2:51" x14ac:dyDescent="0.2">
      <c r="C32" t="s">
        <v>12</v>
      </c>
      <c r="E32" s="2">
        <f>+'Receipts &amp; Payments 2020'!A34</f>
        <v>0</v>
      </c>
      <c r="F32" s="8"/>
      <c r="I32" s="2">
        <f>+'Receipts &amp; Payments 2020'!E34</f>
        <v>1045</v>
      </c>
      <c r="J32" s="8"/>
      <c r="M32" s="2">
        <f>+'Receipts &amp; Payments 2019'!E34</f>
        <v>1045</v>
      </c>
      <c r="Q32" s="2">
        <f>+'Receipts And Payements 2018'!E34</f>
        <v>1045</v>
      </c>
      <c r="U32" s="2">
        <v>1140</v>
      </c>
      <c r="Y32" s="2">
        <f>+'Receipts &amp; Payments 2016'!E34</f>
        <v>1140</v>
      </c>
      <c r="AC32" s="2">
        <f>+'Receipts &amp; Payments 2015'!E34</f>
        <v>1140</v>
      </c>
      <c r="AG32">
        <v>1140</v>
      </c>
      <c r="AH32" s="2"/>
      <c r="AK32">
        <f>285+285+285+285</f>
        <v>1140</v>
      </c>
      <c r="AL32" s="2"/>
      <c r="AO32" s="45">
        <v>1140</v>
      </c>
      <c r="AP32" s="43"/>
      <c r="AQ32" s="43"/>
      <c r="AS32" s="28">
        <v>837.18</v>
      </c>
      <c r="AT32" s="28"/>
      <c r="AU32" s="28"/>
      <c r="AW32" s="11"/>
      <c r="AX32" s="13">
        <f>279.06*2</f>
        <v>558.12</v>
      </c>
      <c r="AY32" s="22"/>
    </row>
    <row r="33" spans="2:51" x14ac:dyDescent="0.2">
      <c r="C33" s="50" t="s">
        <v>99</v>
      </c>
      <c r="D33" s="50"/>
      <c r="E33" s="2">
        <v>121.99</v>
      </c>
      <c r="G33" s="50"/>
      <c r="H33" s="50"/>
      <c r="I33" s="2">
        <v>121.99</v>
      </c>
      <c r="K33" s="50"/>
      <c r="L33" s="50"/>
      <c r="M33" s="2">
        <v>127.79</v>
      </c>
      <c r="O33" s="50"/>
      <c r="Q33" s="2">
        <v>146.41</v>
      </c>
      <c r="S33" s="50"/>
      <c r="U33" s="2">
        <v>162.84</v>
      </c>
      <c r="Y33" s="2">
        <v>178.31</v>
      </c>
      <c r="AC33" s="2">
        <f>+'Receipts &amp; Payments 2015'!F27+'Receipts &amp; Payments 2015'!E44-'Receipts &amp; Payments 2015'!H105</f>
        <v>253.06</v>
      </c>
      <c r="AH33" s="2"/>
      <c r="AL33" s="2"/>
      <c r="AO33" s="45"/>
      <c r="AP33" s="43"/>
      <c r="AQ33" s="43"/>
      <c r="AS33" s="28"/>
      <c r="AT33" s="28"/>
      <c r="AU33" s="28"/>
      <c r="AW33" s="11"/>
      <c r="AX33" s="13"/>
      <c r="AY33" s="22"/>
    </row>
    <row r="34" spans="2:51" x14ac:dyDescent="0.2">
      <c r="C34" s="50" t="s">
        <v>441</v>
      </c>
      <c r="D34" s="50"/>
      <c r="E34" s="2">
        <f>+'Receipts &amp; Payments 2020'!G34</f>
        <v>0</v>
      </c>
      <c r="F34" s="8"/>
      <c r="G34" s="50"/>
      <c r="H34" s="50"/>
      <c r="I34" s="2">
        <f>+'Receipts &amp; Payments 2020'!K34</f>
        <v>78</v>
      </c>
      <c r="J34" s="8"/>
      <c r="K34" s="50"/>
      <c r="L34" s="50"/>
      <c r="M34" s="2">
        <f>+'Receipts &amp; Payments 2019'!K34</f>
        <v>138</v>
      </c>
      <c r="O34" s="50"/>
      <c r="Q34" s="2"/>
      <c r="S34" s="50"/>
      <c r="U34" s="2"/>
      <c r="Y34" s="2"/>
      <c r="AC34" s="2"/>
      <c r="AH34" s="2"/>
      <c r="AL34" s="2"/>
      <c r="AO34" s="45"/>
      <c r="AP34" s="43"/>
      <c r="AQ34" s="43"/>
      <c r="AS34" s="28"/>
      <c r="AT34" s="28"/>
      <c r="AU34" s="28"/>
      <c r="AW34" s="11"/>
      <c r="AX34" s="13"/>
      <c r="AY34" s="22"/>
    </row>
    <row r="35" spans="2:51" x14ac:dyDescent="0.2">
      <c r="C35" s="6" t="s">
        <v>51</v>
      </c>
      <c r="D35" s="6"/>
      <c r="E35" s="36">
        <f>+'Receipts &amp; Payments 2020'!E34</f>
        <v>1045</v>
      </c>
      <c r="F35" s="8"/>
      <c r="G35" s="6"/>
      <c r="H35" s="6"/>
      <c r="I35" s="36">
        <f>+'Receipts &amp; Payments 2020'!I34</f>
        <v>58</v>
      </c>
      <c r="J35" s="8"/>
      <c r="K35" s="6"/>
      <c r="L35" s="6"/>
      <c r="M35" s="36">
        <f>+'Receipts &amp; Payments 2019'!I34</f>
        <v>29</v>
      </c>
      <c r="O35" s="6"/>
      <c r="P35" s="6"/>
      <c r="Q35" s="36">
        <v>29</v>
      </c>
      <c r="S35" s="6"/>
      <c r="T35" s="6"/>
      <c r="U35" s="36">
        <v>29</v>
      </c>
      <c r="W35" s="6"/>
      <c r="X35" s="6"/>
      <c r="Y35" s="36">
        <f>+'Receipts &amp; Payments 2016'!I34</f>
        <v>29</v>
      </c>
      <c r="AA35" s="6"/>
      <c r="AB35" s="6"/>
      <c r="AC35" s="36">
        <f>+'Receipts &amp; Payments 2015'!I34</f>
        <v>29</v>
      </c>
      <c r="AE35" s="6"/>
      <c r="AF35" s="6"/>
      <c r="AG35">
        <v>29</v>
      </c>
      <c r="AH35" s="2"/>
      <c r="AK35">
        <v>61.55</v>
      </c>
      <c r="AL35" s="2"/>
      <c r="AO35" s="45"/>
      <c r="AP35" s="43"/>
      <c r="AQ35" s="43"/>
      <c r="AS35" s="28"/>
      <c r="AT35" s="28"/>
      <c r="AU35" s="28"/>
      <c r="AW35" s="11"/>
      <c r="AX35" s="13"/>
      <c r="AY35" s="22"/>
    </row>
    <row r="36" spans="2:51" x14ac:dyDescent="0.2">
      <c r="C36" t="s">
        <v>13</v>
      </c>
      <c r="E36" s="2"/>
      <c r="I36" s="2"/>
      <c r="M36" s="2">
        <f>+'Receipts &amp; Payments 2019'!F34</f>
        <v>5000</v>
      </c>
      <c r="Q36" s="2">
        <v>5000</v>
      </c>
      <c r="U36" s="2">
        <v>5000</v>
      </c>
      <c r="Y36" s="2">
        <v>5000</v>
      </c>
      <c r="AC36" s="2">
        <f>+'Receipts &amp; Payments 2015'!H34</f>
        <v>5000</v>
      </c>
      <c r="AG36">
        <v>5000</v>
      </c>
      <c r="AH36" s="2"/>
      <c r="AK36">
        <v>5000</v>
      </c>
      <c r="AL36" s="2"/>
      <c r="AO36" s="45">
        <v>5000</v>
      </c>
      <c r="AP36" s="43"/>
      <c r="AQ36" s="43"/>
      <c r="AS36" s="28">
        <v>5000</v>
      </c>
      <c r="AT36" s="28"/>
      <c r="AU36" s="28"/>
      <c r="AW36" s="11"/>
      <c r="AX36" s="13">
        <v>3000</v>
      </c>
      <c r="AY36" s="22"/>
    </row>
    <row r="37" spans="2:51" ht="13.5" thickBot="1" x14ac:dyDescent="0.25">
      <c r="C37" t="s">
        <v>14</v>
      </c>
      <c r="E37" s="59">
        <f>+'Receipts &amp; Payments 2020'!B34</f>
        <v>0</v>
      </c>
      <c r="F37" s="5">
        <f>+E31+E32+E36+E37+E35+E33</f>
        <v>1166.99</v>
      </c>
      <c r="I37" s="59">
        <f>+'Receipts &amp; Payments 2020'!F34</f>
        <v>101.9</v>
      </c>
      <c r="J37" s="5">
        <f>+I31+I32+I36+I37+I35+I33</f>
        <v>1326.89</v>
      </c>
      <c r="M37" s="59">
        <f>+'Receipts &amp; Payments 2019'!D34</f>
        <v>106.9</v>
      </c>
      <c r="N37" s="5">
        <f>+M31+M32+M36+M37+M35+M33</f>
        <v>6308.69</v>
      </c>
      <c r="Q37" s="59">
        <f>+'Receipts And Payements 2018'!D34</f>
        <v>126.75</v>
      </c>
      <c r="R37" s="5">
        <f>+Q31+Q32+Q36+Q37+Q35+Q33</f>
        <v>6347.16</v>
      </c>
      <c r="U37" s="59">
        <f>+'Receipts and payments 2017'!D34</f>
        <v>36.32</v>
      </c>
      <c r="V37" s="5">
        <f>+U31+U32+U36+U37+U35+U33</f>
        <v>6368.16</v>
      </c>
      <c r="Y37" s="59">
        <f>+'Receipts &amp; Payments 2016'!D34</f>
        <v>43.47</v>
      </c>
      <c r="Z37" s="5">
        <f>+Y31+Y32+Y36+Y37+Y35+Y33</f>
        <v>6390.7800000000007</v>
      </c>
      <c r="AC37" s="59">
        <f>+'Receipts &amp; Payments 2015'!D34</f>
        <v>44.99</v>
      </c>
      <c r="AD37" s="5">
        <f>+AC31+AC32+AC36+AC37+AC35+AC33</f>
        <v>6467.05</v>
      </c>
      <c r="AG37">
        <f>10.13+10.39+9.53+8.93</f>
        <v>38.980000000000004</v>
      </c>
      <c r="AH37" s="5">
        <f>+AG31+AG32+AG36+AG37+AG35</f>
        <v>6207.98</v>
      </c>
      <c r="AK37">
        <f>11.85+8.93+9.53+11.25</f>
        <v>41.56</v>
      </c>
      <c r="AL37" s="5">
        <f>+AK31+AK32+AK36+AK37+AK35</f>
        <v>6243.1100000000006</v>
      </c>
      <c r="AO37" s="45">
        <v>59.34</v>
      </c>
      <c r="AP37" s="46">
        <f>+AO31+AO32+AO36+AO37</f>
        <v>6199.34</v>
      </c>
      <c r="AQ37" s="43"/>
      <c r="AS37" s="28">
        <v>61.14</v>
      </c>
      <c r="AT37" s="29">
        <v>5898.32</v>
      </c>
      <c r="AU37" s="28"/>
      <c r="AW37" s="11"/>
      <c r="AX37" s="21">
        <f>50+12.36</f>
        <v>62.36</v>
      </c>
      <c r="AY37" s="23">
        <f>+AX31+AX32+AX37+AX36</f>
        <v>4795.4799999999996</v>
      </c>
    </row>
    <row r="38" spans="2:51" ht="13.5" thickTop="1" x14ac:dyDescent="0.2">
      <c r="B38" s="1" t="s">
        <v>41</v>
      </c>
      <c r="AH38" s="2"/>
      <c r="AL38" s="2"/>
      <c r="AO38" s="43"/>
      <c r="AP38" s="43"/>
      <c r="AQ38" s="43"/>
      <c r="AS38" s="28"/>
      <c r="AT38" s="28"/>
      <c r="AU38" s="28"/>
      <c r="AW38" s="11"/>
      <c r="AX38" s="12"/>
      <c r="AY38" s="22"/>
    </row>
    <row r="39" spans="2:51" x14ac:dyDescent="0.2">
      <c r="AH39" s="2"/>
      <c r="AL39" s="2"/>
      <c r="AO39" s="43"/>
      <c r="AP39" s="45"/>
      <c r="AQ39" s="43"/>
      <c r="AS39" s="28"/>
      <c r="AT39" s="28"/>
      <c r="AU39" s="28"/>
      <c r="AW39" s="11"/>
      <c r="AX39" s="12"/>
      <c r="AY39" s="22"/>
    </row>
    <row r="40" spans="2:51" x14ac:dyDescent="0.2">
      <c r="C40" t="s">
        <v>15</v>
      </c>
      <c r="E40" s="50" t="s">
        <v>359</v>
      </c>
      <c r="F40" s="2"/>
      <c r="I40" s="50" t="s">
        <v>359</v>
      </c>
      <c r="J40" s="2">
        <f>+'Receipts &amp; Payments 2020'!C34</f>
        <v>26400</v>
      </c>
      <c r="M40" s="50" t="s">
        <v>359</v>
      </c>
      <c r="N40" s="2">
        <f>+'Receipts &amp; Payments 2019'!C34</f>
        <v>25800</v>
      </c>
      <c r="Q40" s="50" t="s">
        <v>359</v>
      </c>
      <c r="R40" s="2">
        <f>800+24000</f>
        <v>24800</v>
      </c>
      <c r="U40" s="50" t="s">
        <v>359</v>
      </c>
      <c r="V40" s="2">
        <f>800+24000</f>
        <v>24800</v>
      </c>
      <c r="Y40" s="50" t="s">
        <v>273</v>
      </c>
      <c r="Z40" s="2">
        <f>180+30000</f>
        <v>30180</v>
      </c>
      <c r="AC40" s="50" t="s">
        <v>271</v>
      </c>
      <c r="AD40" s="2">
        <f>828+60000</f>
        <v>60828</v>
      </c>
      <c r="AG40" s="50" t="s">
        <v>272</v>
      </c>
      <c r="AH40" s="60">
        <v>45000</v>
      </c>
      <c r="AK40" s="50" t="s">
        <v>273</v>
      </c>
      <c r="AL40" s="2">
        <f>30000+600</f>
        <v>30600</v>
      </c>
      <c r="AO40" s="106" t="s">
        <v>273</v>
      </c>
      <c r="AP40" s="45">
        <v>30000</v>
      </c>
      <c r="AQ40" s="43"/>
      <c r="AS40" s="107" t="s">
        <v>44</v>
      </c>
      <c r="AT40" s="28">
        <v>37800</v>
      </c>
      <c r="AU40" s="28"/>
      <c r="AW40" s="11"/>
      <c r="AX40" s="12" t="s">
        <v>44</v>
      </c>
      <c r="AY40" s="13">
        <v>37500</v>
      </c>
    </row>
    <row r="41" spans="2:51" x14ac:dyDescent="0.2">
      <c r="C41" t="s">
        <v>16</v>
      </c>
      <c r="AH41" s="2"/>
      <c r="AL41" s="2"/>
      <c r="AO41" s="43"/>
      <c r="AP41" s="45"/>
      <c r="AQ41" s="43"/>
      <c r="AS41" s="28"/>
      <c r="AT41" s="28"/>
      <c r="AU41" s="28"/>
      <c r="AW41" s="11"/>
      <c r="AX41" s="12"/>
      <c r="AY41" s="22">
        <v>189119.86</v>
      </c>
    </row>
    <row r="42" spans="2:51" x14ac:dyDescent="0.2">
      <c r="C42" s="50" t="s">
        <v>206</v>
      </c>
      <c r="D42" s="50"/>
      <c r="E42" s="50"/>
      <c r="F42" s="50"/>
      <c r="G42" s="50"/>
      <c r="H42" s="50"/>
      <c r="I42" s="50"/>
      <c r="J42" s="50">
        <f>-12880.55-1441.63-21277.17</f>
        <v>-35599.35</v>
      </c>
      <c r="K42" s="50"/>
      <c r="L42" s="50"/>
      <c r="M42" s="50"/>
      <c r="N42" s="50">
        <v>-20611.21</v>
      </c>
      <c r="O42" s="50"/>
      <c r="Q42" s="50"/>
      <c r="R42" s="50">
        <v>-28425</v>
      </c>
      <c r="S42" s="50"/>
      <c r="V42" s="70">
        <f>+'Share account 5-4-17'!K111</f>
        <v>-55227.78</v>
      </c>
      <c r="Z42" s="70">
        <f>-'Share value 5-4-16'!I75</f>
        <v>-78925.62999999999</v>
      </c>
      <c r="AD42" s="70">
        <f>-'Receipts &amp; Payments 2015'!F45-'Receipts &amp; Payments 2015'!I105</f>
        <v>-188428.67</v>
      </c>
      <c r="AH42" s="2"/>
      <c r="AL42" s="2"/>
      <c r="AO42" s="43"/>
      <c r="AP42" s="45">
        <v>-20000</v>
      </c>
      <c r="AQ42" s="43"/>
      <c r="AS42" s="28"/>
      <c r="AT42" s="28">
        <v>190000</v>
      </c>
      <c r="AU42" s="28"/>
      <c r="AW42" s="11"/>
      <c r="AX42" s="12"/>
      <c r="AY42" s="22"/>
    </row>
    <row r="43" spans="2:51" x14ac:dyDescent="0.2">
      <c r="C43" s="50" t="s">
        <v>207</v>
      </c>
      <c r="D43" s="50"/>
      <c r="E43" s="50"/>
      <c r="F43" s="50"/>
      <c r="G43" s="50"/>
      <c r="H43" s="50"/>
      <c r="I43" s="50"/>
      <c r="J43" s="50">
        <f>5087.14+5001.56+17566.17+10000.59+2019.2</f>
        <v>39674.659999999996</v>
      </c>
      <c r="K43" s="50"/>
      <c r="L43" s="50"/>
      <c r="M43" s="50"/>
      <c r="N43" s="50">
        <v>8813.52</v>
      </c>
      <c r="O43" s="50"/>
      <c r="Q43" s="50"/>
      <c r="R43" s="50">
        <v>25724</v>
      </c>
      <c r="S43" s="50"/>
      <c r="V43" s="70">
        <f>+'Share account 5-4-17'!K122</f>
        <v>52083.740000000005</v>
      </c>
      <c r="W43" s="78"/>
      <c r="Z43" s="70">
        <f>-'Share value 5-4-16'!H75</f>
        <v>68959.240000000005</v>
      </c>
      <c r="AA43" s="78"/>
      <c r="AD43" s="70">
        <f>+'Receipts &amp; Payments 2015'!E46-'Receipts &amp; Payments 2015'!J105</f>
        <v>135383.22</v>
      </c>
      <c r="AE43" s="78"/>
      <c r="AH43" s="2"/>
      <c r="AI43" s="78"/>
      <c r="AL43" s="2"/>
      <c r="AO43" s="43"/>
      <c r="AP43" s="45"/>
      <c r="AQ43" s="43"/>
      <c r="AS43" s="28"/>
      <c r="AT43" s="28"/>
      <c r="AU43" s="28"/>
      <c r="AW43" s="11"/>
      <c r="AX43" s="12"/>
      <c r="AY43" s="22"/>
    </row>
    <row r="44" spans="2:51" ht="13.5" thickBot="1" x14ac:dyDescent="0.25">
      <c r="F44" s="55">
        <f>SUM(F40:F43)</f>
        <v>0</v>
      </c>
      <c r="J44" s="55">
        <f>SUM(J40:J43)</f>
        <v>30475.309999999998</v>
      </c>
      <c r="N44" s="55">
        <f>SUM(N40:N43)</f>
        <v>14002.310000000001</v>
      </c>
      <c r="R44" s="55">
        <f>SUM(R40:R43)</f>
        <v>22099</v>
      </c>
      <c r="V44" s="5">
        <f>SUM(V40:V43)</f>
        <v>21655.960000000006</v>
      </c>
      <c r="W44" s="77"/>
      <c r="Z44" s="5">
        <f>SUM(Z40:Z43)</f>
        <v>20213.610000000015</v>
      </c>
      <c r="AA44" s="77"/>
      <c r="AD44" s="5">
        <f>SUM(AD40:AD43)</f>
        <v>7782.5499999999884</v>
      </c>
      <c r="AE44" s="77"/>
      <c r="AH44" s="5">
        <f>SUM(AH40:AH42)</f>
        <v>45000</v>
      </c>
      <c r="AI44" s="77"/>
      <c r="AL44" s="5">
        <f>SUM(AL40:AL42)</f>
        <v>30600</v>
      </c>
      <c r="AO44" s="43"/>
      <c r="AP44" s="46">
        <f>SUM(AP40:AP42)</f>
        <v>10000</v>
      </c>
      <c r="AQ44" s="43"/>
      <c r="AS44" s="28"/>
      <c r="AT44" s="29">
        <v>227800</v>
      </c>
      <c r="AU44" s="28"/>
      <c r="AW44" s="11"/>
      <c r="AX44" s="12"/>
      <c r="AY44" s="23">
        <f>SUM(AY40:AY41)</f>
        <v>226619.86</v>
      </c>
    </row>
    <row r="45" spans="2:51" ht="13.5" thickTop="1" x14ac:dyDescent="0.2">
      <c r="AH45" s="2"/>
      <c r="AL45" s="2"/>
      <c r="AO45" s="43"/>
      <c r="AP45" s="47"/>
      <c r="AQ45" s="43"/>
      <c r="AS45" s="28"/>
      <c r="AT45" s="28"/>
      <c r="AU45" s="28"/>
      <c r="AW45" s="11"/>
      <c r="AX45" s="12"/>
      <c r="AY45" s="27"/>
    </row>
    <row r="46" spans="2:51" x14ac:dyDescent="0.2">
      <c r="B46" s="1" t="s">
        <v>428</v>
      </c>
      <c r="AH46" s="2"/>
      <c r="AI46" s="8"/>
      <c r="AL46" s="2"/>
      <c r="AO46" s="43"/>
      <c r="AP46" s="47"/>
      <c r="AQ46" s="43"/>
      <c r="AS46" s="28"/>
      <c r="AT46" s="28"/>
      <c r="AU46" s="28"/>
      <c r="AW46" s="11"/>
      <c r="AX46" s="12"/>
      <c r="AY46" s="27"/>
    </row>
    <row r="47" spans="2:51" x14ac:dyDescent="0.2">
      <c r="AH47" s="2"/>
      <c r="AL47" s="2"/>
      <c r="AO47" s="43"/>
      <c r="AP47" s="47"/>
      <c r="AQ47" s="43"/>
      <c r="AS47" s="28"/>
      <c r="AT47" s="28"/>
      <c r="AU47" s="28"/>
      <c r="AW47" s="11"/>
      <c r="AX47" s="12"/>
      <c r="AY47" s="27"/>
    </row>
    <row r="48" spans="2:51" x14ac:dyDescent="0.2">
      <c r="B48" s="1" t="s">
        <v>17</v>
      </c>
      <c r="AH48" s="2"/>
      <c r="AL48" s="2"/>
      <c r="AO48" s="43"/>
      <c r="AP48" s="45"/>
      <c r="AQ48" s="43"/>
      <c r="AS48" s="28"/>
      <c r="AT48" s="28"/>
      <c r="AU48" s="28"/>
      <c r="AW48" s="11"/>
      <c r="AX48" s="11"/>
      <c r="AY48" s="22"/>
    </row>
    <row r="49" spans="2:51" x14ac:dyDescent="0.2">
      <c r="B49" s="1"/>
      <c r="C49" t="s">
        <v>18</v>
      </c>
      <c r="E49" t="s">
        <v>456</v>
      </c>
      <c r="F49" s="2">
        <f>+J49+F40</f>
        <v>374536</v>
      </c>
      <c r="I49" t="s">
        <v>452</v>
      </c>
      <c r="J49" s="2">
        <f>+N49+'Receipts &amp; Payments 2020'!C34</f>
        <v>374536</v>
      </c>
      <c r="M49" t="s">
        <v>439</v>
      </c>
      <c r="N49" s="2">
        <f>+R49+N40</f>
        <v>348136</v>
      </c>
      <c r="Q49" t="s">
        <v>430</v>
      </c>
      <c r="R49" s="2">
        <f>+V49+R40</f>
        <v>322336</v>
      </c>
      <c r="U49" s="50" t="s">
        <v>360</v>
      </c>
      <c r="V49" s="2">
        <f>+Z49+V40</f>
        <v>297536</v>
      </c>
      <c r="Y49" s="50" t="s">
        <v>277</v>
      </c>
      <c r="Z49" s="2">
        <f>+AD49+Z40</f>
        <v>272736</v>
      </c>
      <c r="AC49" s="50" t="s">
        <v>56</v>
      </c>
      <c r="AD49" s="2">
        <f>180900+AD40+828</f>
        <v>242556</v>
      </c>
      <c r="AG49" s="50" t="s">
        <v>53</v>
      </c>
      <c r="AH49" s="36">
        <f>+AH40+AL49</f>
        <v>180900</v>
      </c>
      <c r="AI49" s="39">
        <f>+AH49/AH53</f>
        <v>0.45758674266232213</v>
      </c>
      <c r="AJ49" s="39"/>
      <c r="AK49" s="6" t="s">
        <v>50</v>
      </c>
      <c r="AL49" s="36">
        <f>+AL40+AP49</f>
        <v>135900</v>
      </c>
      <c r="AM49" s="39">
        <f>+AL49/AL53</f>
        <v>0.4064335287384393</v>
      </c>
      <c r="AO49" s="43" t="s">
        <v>43</v>
      </c>
      <c r="AP49" s="45">
        <f>+AP40+AT49</f>
        <v>105300</v>
      </c>
      <c r="AQ49" s="43"/>
      <c r="AS49" s="28" t="s">
        <v>45</v>
      </c>
      <c r="AT49" s="28">
        <v>75300</v>
      </c>
      <c r="AU49" s="28"/>
      <c r="AW49" s="11"/>
      <c r="AX49" s="11" t="s">
        <v>44</v>
      </c>
      <c r="AY49" s="22">
        <v>37500</v>
      </c>
    </row>
    <row r="50" spans="2:51" x14ac:dyDescent="0.2">
      <c r="B50" s="1"/>
      <c r="C50" t="s">
        <v>19</v>
      </c>
      <c r="F50" s="2">
        <v>0</v>
      </c>
      <c r="J50" s="2">
        <v>0</v>
      </c>
      <c r="N50" s="2">
        <v>12949.36</v>
      </c>
      <c r="R50" s="2">
        <v>4495.01</v>
      </c>
      <c r="V50" s="2">
        <v>5207.3100000000004</v>
      </c>
      <c r="Z50" s="2">
        <v>3948.01</v>
      </c>
      <c r="AD50" s="2">
        <v>7029.57</v>
      </c>
      <c r="AH50" s="2">
        <v>7330.3</v>
      </c>
      <c r="AI50" s="39">
        <f>+AH50/AH53</f>
        <v>1.8542001656924378E-2</v>
      </c>
      <c r="AJ50" s="39"/>
      <c r="AL50" s="2">
        <v>1296.8499999999999</v>
      </c>
      <c r="AM50" s="39">
        <f>+AL50/AL53</f>
        <v>3.8784644719973872E-3</v>
      </c>
      <c r="AO50" s="43"/>
      <c r="AP50" s="45">
        <v>23077.74</v>
      </c>
      <c r="AQ50" s="43"/>
      <c r="AS50" s="28"/>
      <c r="AT50" s="28">
        <v>11259.36</v>
      </c>
      <c r="AU50" s="28"/>
      <c r="AW50" s="11"/>
      <c r="AX50" s="11"/>
      <c r="AY50" s="22">
        <v>189119.86</v>
      </c>
    </row>
    <row r="51" spans="2:51" x14ac:dyDescent="0.2">
      <c r="B51" s="1"/>
      <c r="C51" t="s">
        <v>36</v>
      </c>
      <c r="F51" s="2"/>
      <c r="J51" s="2">
        <v>2055.5100000000002</v>
      </c>
      <c r="N51" s="2">
        <v>879.61</v>
      </c>
      <c r="R51" s="2">
        <v>5244.41</v>
      </c>
      <c r="V51" s="2">
        <v>1040.6500000000001</v>
      </c>
      <c r="Z51" s="2">
        <v>348.35</v>
      </c>
      <c r="AD51" s="2">
        <f>+'Receipts &amp; Payments 2015'!F107</f>
        <v>6164.37</v>
      </c>
      <c r="AH51" s="2">
        <v>664.17</v>
      </c>
      <c r="AI51" s="39">
        <f>+AH51/AH53</f>
        <v>1.6800187223550828E-3</v>
      </c>
      <c r="AJ51" s="39"/>
      <c r="AL51" s="2">
        <v>1018.18</v>
      </c>
      <c r="AM51" s="39">
        <f>+AL51/AL53</f>
        <v>3.0450514370191618E-3</v>
      </c>
      <c r="AO51" s="43"/>
      <c r="AP51" s="45">
        <f>11520.16+5900.23</f>
        <v>17420.39</v>
      </c>
      <c r="AQ51" s="43"/>
      <c r="AS51" s="28"/>
      <c r="AT51" s="28">
        <v>4782.84</v>
      </c>
      <c r="AU51" s="28"/>
      <c r="AW51" s="11"/>
      <c r="AX51" s="11"/>
      <c r="AY51" s="22"/>
    </row>
    <row r="52" spans="2:51" x14ac:dyDescent="0.2">
      <c r="B52" s="1"/>
      <c r="C52" t="s">
        <v>37</v>
      </c>
      <c r="F52" s="2"/>
      <c r="J52" s="2">
        <v>96202.22</v>
      </c>
      <c r="N52" s="2">
        <v>96686.5</v>
      </c>
      <c r="R52" s="2">
        <v>126639.13</v>
      </c>
      <c r="V52" s="2">
        <v>126360.69</v>
      </c>
      <c r="Z52" s="2">
        <f>+'Share value 5-4-16'!H16</f>
        <v>129364.21556249999</v>
      </c>
      <c r="AD52" s="2">
        <f>+'Receipts &amp; Payments 2015'!F108</f>
        <v>155629.09</v>
      </c>
      <c r="AH52" s="51">
        <v>206440.41</v>
      </c>
      <c r="AI52" s="39">
        <f>+AH52/AH53</f>
        <v>0.52219123695839842</v>
      </c>
      <c r="AJ52" s="39"/>
      <c r="AL52" s="2">
        <v>196156.99</v>
      </c>
      <c r="AM52" s="39">
        <f>+AL52/AL53</f>
        <v>0.58664295535254407</v>
      </c>
      <c r="AO52" s="43"/>
      <c r="AP52" s="45">
        <v>152034.15</v>
      </c>
      <c r="AQ52" s="43"/>
      <c r="AS52" s="28"/>
      <c r="AT52" s="28">
        <v>187229.13</v>
      </c>
      <c r="AU52" s="28"/>
      <c r="AW52" s="11"/>
      <c r="AX52" s="11"/>
      <c r="AY52" s="22"/>
    </row>
    <row r="53" spans="2:51" ht="13.5" thickBot="1" x14ac:dyDescent="0.25">
      <c r="B53" s="1"/>
      <c r="F53" s="5">
        <f>SUM(F49:F52)</f>
        <v>374536</v>
      </c>
      <c r="J53" s="5">
        <f>SUM(J49:J52)</f>
        <v>472793.73</v>
      </c>
      <c r="N53" s="5">
        <f>SUM(N49:N52)</f>
        <v>458651.47</v>
      </c>
      <c r="R53" s="5">
        <f>SUM(R49:R52)</f>
        <v>458714.55</v>
      </c>
      <c r="V53" s="5">
        <f>SUM(V49:V52)</f>
        <v>430144.65</v>
      </c>
      <c r="Z53" s="5">
        <f>SUM(Z49:Z52)</f>
        <v>406396.57556249999</v>
      </c>
      <c r="AD53" s="5">
        <f>SUM(AD49:AD52)</f>
        <v>411379.03</v>
      </c>
      <c r="AH53" s="5">
        <f>SUM(AH49:AH52)</f>
        <v>395334.88</v>
      </c>
      <c r="AL53" s="5">
        <f>SUM(AL49:AL52)</f>
        <v>334372.02</v>
      </c>
      <c r="AO53" s="43"/>
      <c r="AP53" s="46">
        <f>SUM(AP49:AP52)</f>
        <v>297832.28000000003</v>
      </c>
      <c r="AQ53" s="43"/>
      <c r="AS53" s="28"/>
      <c r="AT53" s="29">
        <v>278571.33</v>
      </c>
      <c r="AU53" s="28"/>
      <c r="AW53" s="11"/>
      <c r="AX53" s="11"/>
      <c r="AY53" s="23">
        <f>SUM(AY49:AY52)</f>
        <v>226619.86</v>
      </c>
    </row>
    <row r="54" spans="2:51" ht="13.5" thickTop="1" x14ac:dyDescent="0.2">
      <c r="B54" s="1" t="s">
        <v>20</v>
      </c>
      <c r="V54" s="2"/>
      <c r="Z54" s="2"/>
      <c r="AD54" s="2"/>
      <c r="AH54" s="2"/>
      <c r="AL54" s="2"/>
      <c r="AO54" s="43"/>
      <c r="AP54" s="45"/>
      <c r="AQ54" s="43"/>
      <c r="AS54" s="28"/>
      <c r="AT54" s="28"/>
      <c r="AU54" s="28"/>
      <c r="AW54" s="11"/>
      <c r="AX54" s="11"/>
      <c r="AY54" s="22"/>
    </row>
    <row r="55" spans="2:51" ht="13.5" thickBot="1" x14ac:dyDescent="0.25">
      <c r="B55" s="1"/>
      <c r="C55" t="s">
        <v>21</v>
      </c>
      <c r="F55" s="2">
        <v>0</v>
      </c>
      <c r="J55" s="2">
        <v>0</v>
      </c>
      <c r="N55" s="2">
        <v>0</v>
      </c>
      <c r="R55" s="2">
        <v>0</v>
      </c>
      <c r="V55" s="2">
        <v>0</v>
      </c>
      <c r="Z55" s="2">
        <v>0</v>
      </c>
      <c r="AD55" s="2">
        <f>+AD16+AD17</f>
        <v>1950</v>
      </c>
      <c r="AH55" s="2">
        <f>+AH16+AH17</f>
        <v>1527.5</v>
      </c>
      <c r="AL55" s="2"/>
      <c r="AO55" s="43"/>
      <c r="AP55" s="45">
        <f>+AP16+AP17</f>
        <v>5238.75</v>
      </c>
      <c r="AQ55" s="43"/>
      <c r="AS55" s="28"/>
      <c r="AT55" s="28">
        <v>0</v>
      </c>
      <c r="AU55" s="28"/>
      <c r="AW55" s="11"/>
      <c r="AX55" s="11"/>
      <c r="AY55" s="23">
        <v>7284.25</v>
      </c>
    </row>
    <row r="56" spans="2:51" ht="13.5" thickTop="1" x14ac:dyDescent="0.2">
      <c r="B56" s="1" t="s">
        <v>22</v>
      </c>
      <c r="V56" s="2"/>
      <c r="W56" s="32" t="s">
        <v>101</v>
      </c>
      <c r="Z56" s="2"/>
      <c r="AA56" s="32" t="s">
        <v>101</v>
      </c>
      <c r="AD56" s="2"/>
      <c r="AE56" s="32" t="s">
        <v>101</v>
      </c>
      <c r="AH56" s="2"/>
      <c r="AI56" s="32" t="s">
        <v>101</v>
      </c>
      <c r="AL56" s="2"/>
      <c r="AO56" s="43"/>
      <c r="AP56" s="45"/>
      <c r="AQ56" s="43"/>
      <c r="AS56" s="28"/>
      <c r="AT56" s="28"/>
      <c r="AU56" s="28"/>
      <c r="AW56" s="11"/>
      <c r="AX56" s="11"/>
      <c r="AY56" s="22"/>
    </row>
    <row r="57" spans="2:51" ht="13.5" thickBot="1" x14ac:dyDescent="0.25">
      <c r="B57" s="1"/>
      <c r="C57" t="s">
        <v>23</v>
      </c>
      <c r="F57" s="5"/>
      <c r="J57" s="5">
        <f>8081.67-25-261.25-1.6</f>
        <v>7793.82</v>
      </c>
      <c r="N57" s="5">
        <v>975</v>
      </c>
      <c r="R57" s="5">
        <v>1000</v>
      </c>
      <c r="V57" s="5">
        <v>1000</v>
      </c>
      <c r="W57" s="77">
        <f>+V57+V50+V51</f>
        <v>7247.9600000000009</v>
      </c>
      <c r="Z57" s="5">
        <v>1000</v>
      </c>
      <c r="AA57" s="77">
        <f>+Z57+Z50+Z51</f>
        <v>5296.3600000000006</v>
      </c>
      <c r="AD57" s="5">
        <v>1000</v>
      </c>
      <c r="AE57" s="77">
        <f>+AD57+AD50+AD51</f>
        <v>14193.939999999999</v>
      </c>
      <c r="AH57" s="5">
        <v>1000</v>
      </c>
      <c r="AI57" s="77">
        <f>+AH57+AH50+AH51</f>
        <v>8994.4699999999993</v>
      </c>
      <c r="AL57" s="5">
        <v>1000</v>
      </c>
      <c r="AO57" s="43"/>
      <c r="AP57" s="46">
        <f>+AY57</f>
        <v>1000</v>
      </c>
      <c r="AQ57" s="43"/>
      <c r="AS57" s="28"/>
      <c r="AT57" s="28">
        <v>1000</v>
      </c>
      <c r="AU57" s="28"/>
      <c r="AW57" s="11"/>
      <c r="AX57" s="11"/>
      <c r="AY57" s="23">
        <v>1000</v>
      </c>
    </row>
    <row r="58" spans="2:51" ht="13.5" thickTop="1" x14ac:dyDescent="0.2">
      <c r="B58" s="1" t="s">
        <v>24</v>
      </c>
      <c r="V58" s="2"/>
      <c r="Z58" s="2"/>
      <c r="AD58" s="2"/>
      <c r="AH58" s="2"/>
      <c r="AL58" s="2"/>
      <c r="AO58" s="43"/>
      <c r="AP58" s="45"/>
      <c r="AQ58" s="43"/>
      <c r="AS58" s="28"/>
      <c r="AT58" s="28"/>
      <c r="AU58" s="28"/>
      <c r="AW58" s="11"/>
      <c r="AX58" s="11"/>
      <c r="AY58" s="22"/>
    </row>
    <row r="59" spans="2:51" x14ac:dyDescent="0.2">
      <c r="B59" s="1"/>
      <c r="C59" t="s">
        <v>25</v>
      </c>
      <c r="V59" s="2">
        <v>0</v>
      </c>
      <c r="Z59" s="2">
        <v>0</v>
      </c>
      <c r="AD59" s="2"/>
      <c r="AH59" s="2"/>
      <c r="AL59" s="2"/>
      <c r="AO59" s="43"/>
      <c r="AP59" s="45">
        <v>0</v>
      </c>
      <c r="AQ59" s="43"/>
      <c r="AS59" s="28"/>
      <c r="AT59" s="28">
        <v>0</v>
      </c>
      <c r="AU59" s="28"/>
      <c r="AW59" s="11"/>
      <c r="AX59" s="11">
        <v>-279.06</v>
      </c>
      <c r="AY59" s="22"/>
    </row>
    <row r="60" spans="2:51" ht="13.5" thickBot="1" x14ac:dyDescent="0.25">
      <c r="B60" s="1"/>
      <c r="C60" t="s">
        <v>26</v>
      </c>
      <c r="F60" s="2"/>
      <c r="J60" s="2"/>
      <c r="N60" s="2">
        <v>-5000</v>
      </c>
      <c r="R60" s="2">
        <v>-5000</v>
      </c>
      <c r="V60" s="2">
        <v>-10000</v>
      </c>
      <c r="Z60" s="2">
        <v>-5000</v>
      </c>
      <c r="AD60" s="2"/>
      <c r="AH60" s="2"/>
      <c r="AL60" s="2"/>
      <c r="AO60" s="43"/>
      <c r="AP60" s="45">
        <v>0</v>
      </c>
      <c r="AQ60" s="43"/>
      <c r="AS60" s="28"/>
      <c r="AT60" s="28">
        <v>0</v>
      </c>
      <c r="AU60" s="28"/>
      <c r="AW60" s="11"/>
      <c r="AX60" s="11">
        <v>-3000</v>
      </c>
      <c r="AY60" s="23">
        <f>+AX59+AX60</f>
        <v>-3279.06</v>
      </c>
    </row>
    <row r="61" spans="2:51" ht="13.5" thickTop="1" x14ac:dyDescent="0.2">
      <c r="B61" s="1"/>
      <c r="C61" s="50" t="s">
        <v>431</v>
      </c>
      <c r="D61" s="50"/>
      <c r="E61" s="50"/>
      <c r="F61" s="54">
        <f>-20273+10000</f>
        <v>-10273</v>
      </c>
      <c r="G61" s="50"/>
      <c r="H61" s="50"/>
      <c r="I61" s="50"/>
      <c r="J61" s="54">
        <f>-20273+10000</f>
        <v>-10273</v>
      </c>
      <c r="K61" s="50"/>
      <c r="L61" s="50"/>
      <c r="M61" s="50"/>
      <c r="N61" s="54">
        <v>-16578.5</v>
      </c>
      <c r="O61" s="50"/>
      <c r="Q61" s="50"/>
      <c r="R61" s="54">
        <v>-22514.5</v>
      </c>
      <c r="S61" s="50"/>
      <c r="V61" s="2">
        <f>-9450-29</f>
        <v>-9479</v>
      </c>
      <c r="Z61" s="2">
        <v>-180</v>
      </c>
      <c r="AD61" s="2">
        <v>-7200</v>
      </c>
      <c r="AH61" s="2"/>
      <c r="AL61" s="2"/>
      <c r="AO61" s="43"/>
      <c r="AP61" s="45"/>
      <c r="AQ61" s="43"/>
      <c r="AS61" s="28"/>
      <c r="AT61" s="28"/>
      <c r="AU61" s="28"/>
      <c r="AW61" s="11"/>
      <c r="AX61" s="11"/>
      <c r="AY61" s="22"/>
    </row>
    <row r="62" spans="2:51" hidden="1" x14ac:dyDescent="0.2">
      <c r="B62" s="1"/>
      <c r="V62" s="2"/>
      <c r="Z62" s="2"/>
      <c r="AD62" s="2"/>
      <c r="AH62" s="2"/>
      <c r="AL62" s="2"/>
      <c r="AO62" s="43"/>
      <c r="AP62" s="45"/>
      <c r="AQ62" s="43"/>
      <c r="AS62" s="28"/>
      <c r="AT62" s="28"/>
      <c r="AU62" s="28"/>
      <c r="AW62" s="11"/>
      <c r="AX62" s="11"/>
      <c r="AY62" s="22"/>
    </row>
    <row r="63" spans="2:51" ht="13.5" thickBot="1" x14ac:dyDescent="0.25">
      <c r="B63" s="1" t="s">
        <v>27</v>
      </c>
      <c r="F63" s="5">
        <f>+F53+F57+F55+F60+F59+F61</f>
        <v>364263</v>
      </c>
      <c r="J63" s="5">
        <f>+J53+J57+J55+J60+J59+J61</f>
        <v>470314.55</v>
      </c>
      <c r="N63" s="5">
        <f>+N53+N57+N55+N60+N59+N61</f>
        <v>438047.97</v>
      </c>
      <c r="R63" s="5">
        <f>+R53+R57+R55+R60+R59+R61</f>
        <v>432200.05</v>
      </c>
      <c r="V63" s="5">
        <f>+V53+V57+V55+V60+V59+V61</f>
        <v>411665.65</v>
      </c>
      <c r="Z63" s="5">
        <f>+Z53+Z57+Z55+Z60+Z59+Z61</f>
        <v>402216.57556249999</v>
      </c>
      <c r="AD63" s="5">
        <f>+AD53+AD57+AD55+AD60+AD59+AD61</f>
        <v>407129.03</v>
      </c>
      <c r="AH63" s="61">
        <f>+AH53+AH57+AH55+AH60+AH59</f>
        <v>397862.38</v>
      </c>
      <c r="AL63" s="5">
        <f>+AL53+AL57+AL55+AL60+AL59</f>
        <v>335372.02</v>
      </c>
      <c r="AO63" s="43"/>
      <c r="AP63" s="46">
        <f>+AP53+AP57+AP55+AP60</f>
        <v>304071.03000000003</v>
      </c>
      <c r="AQ63" s="43"/>
      <c r="AS63" s="28"/>
      <c r="AT63" s="53">
        <f>+AT53+AT57+AT55+AT60</f>
        <v>279571.33</v>
      </c>
      <c r="AU63" s="28"/>
      <c r="AW63" s="11"/>
      <c r="AX63" s="11"/>
      <c r="AY63" s="23">
        <f>+AY53+AY55+AY57+AY60</f>
        <v>231625.05</v>
      </c>
    </row>
    <row r="64" spans="2:51" ht="13.5" hidden="1" thickTop="1" x14ac:dyDescent="0.2">
      <c r="U64" s="8"/>
      <c r="AO64" s="43"/>
      <c r="AP64" s="43"/>
      <c r="AQ64" s="43"/>
      <c r="AS64" s="28"/>
      <c r="AT64" s="28"/>
      <c r="AU64" s="28"/>
      <c r="AW64" s="11"/>
      <c r="AX64" s="11"/>
      <c r="AY64" s="22"/>
    </row>
    <row r="65" spans="2:51" ht="13.5" hidden="1" thickTop="1" x14ac:dyDescent="0.2">
      <c r="V65" s="8"/>
      <c r="W65" s="8"/>
      <c r="Z65" s="8"/>
      <c r="AA65" s="8"/>
      <c r="AO65" s="43"/>
      <c r="AP65" s="43"/>
      <c r="AQ65" s="43"/>
      <c r="AS65" s="28"/>
      <c r="AT65" s="28"/>
      <c r="AU65" s="28"/>
      <c r="AW65" s="11"/>
      <c r="AX65" s="11"/>
      <c r="AY65" s="22"/>
    </row>
    <row r="66" spans="2:51" ht="13.5" hidden="1" thickTop="1" x14ac:dyDescent="0.2">
      <c r="AO66" s="43"/>
      <c r="AP66" s="43"/>
      <c r="AQ66" s="43"/>
      <c r="AS66" s="28"/>
      <c r="AT66" s="28"/>
      <c r="AU66" s="28"/>
      <c r="AW66" s="11"/>
      <c r="AX66" s="12"/>
      <c r="AY66" s="22"/>
    </row>
    <row r="67" spans="2:51" ht="13.5" thickTop="1" x14ac:dyDescent="0.2">
      <c r="B67" s="1" t="s">
        <v>0</v>
      </c>
      <c r="AO67" s="43"/>
      <c r="AP67" s="43"/>
      <c r="AQ67" s="43"/>
      <c r="AS67" s="28"/>
      <c r="AT67" s="28"/>
      <c r="AU67" s="28"/>
      <c r="AW67" s="11"/>
      <c r="AX67" s="12"/>
      <c r="AY67" s="22"/>
    </row>
    <row r="68" spans="2:51" x14ac:dyDescent="0.2">
      <c r="B68" s="1" t="s">
        <v>453</v>
      </c>
      <c r="AO68" s="43"/>
      <c r="AP68" s="43"/>
      <c r="AQ68" s="43"/>
      <c r="AS68" s="28"/>
      <c r="AT68" s="28"/>
      <c r="AU68" s="28"/>
      <c r="AW68" s="11"/>
      <c r="AX68" s="12"/>
      <c r="AY68" s="22"/>
    </row>
    <row r="69" spans="2:51" x14ac:dyDescent="0.2">
      <c r="B69" s="1"/>
      <c r="E69" s="7" t="s">
        <v>28</v>
      </c>
      <c r="F69" s="3" t="s">
        <v>29</v>
      </c>
      <c r="G69" s="7" t="s">
        <v>30</v>
      </c>
      <c r="I69" s="7" t="s">
        <v>28</v>
      </c>
      <c r="J69" s="3" t="s">
        <v>29</v>
      </c>
      <c r="K69" s="7" t="s">
        <v>30</v>
      </c>
      <c r="M69" s="7" t="s">
        <v>28</v>
      </c>
      <c r="N69" s="3" t="s">
        <v>29</v>
      </c>
      <c r="O69" s="7" t="s">
        <v>30</v>
      </c>
      <c r="Q69" s="7" t="s">
        <v>28</v>
      </c>
      <c r="R69" s="3" t="s">
        <v>29</v>
      </c>
      <c r="S69" s="7" t="s">
        <v>30</v>
      </c>
      <c r="U69" s="7" t="s">
        <v>28</v>
      </c>
      <c r="V69" s="3" t="s">
        <v>29</v>
      </c>
      <c r="W69" s="7" t="s">
        <v>30</v>
      </c>
      <c r="Y69" s="7" t="s">
        <v>28</v>
      </c>
      <c r="Z69" s="3" t="s">
        <v>29</v>
      </c>
      <c r="AA69" s="7" t="s">
        <v>30</v>
      </c>
      <c r="AC69" s="7" t="s">
        <v>28</v>
      </c>
      <c r="AD69" s="3" t="s">
        <v>29</v>
      </c>
      <c r="AE69" s="7" t="s">
        <v>30</v>
      </c>
      <c r="AG69" s="7" t="s">
        <v>28</v>
      </c>
      <c r="AH69" s="3" t="s">
        <v>29</v>
      </c>
      <c r="AI69" s="7" t="s">
        <v>30</v>
      </c>
      <c r="AJ69" s="7"/>
      <c r="AK69" s="7" t="s">
        <v>28</v>
      </c>
      <c r="AL69" s="3" t="s">
        <v>29</v>
      </c>
      <c r="AM69" s="7" t="s">
        <v>30</v>
      </c>
      <c r="AN69" s="7"/>
      <c r="AO69" s="44" t="s">
        <v>28</v>
      </c>
      <c r="AP69" s="48" t="s">
        <v>29</v>
      </c>
      <c r="AQ69" s="44" t="s">
        <v>30</v>
      </c>
      <c r="AR69" s="35"/>
      <c r="AS69" s="30" t="s">
        <v>28</v>
      </c>
      <c r="AT69" s="30" t="s">
        <v>29</v>
      </c>
      <c r="AU69" s="30" t="s">
        <v>30</v>
      </c>
      <c r="AV69" s="32"/>
      <c r="AW69" s="16" t="s">
        <v>28</v>
      </c>
      <c r="AX69" s="16" t="s">
        <v>29</v>
      </c>
      <c r="AY69" s="13" t="s">
        <v>30</v>
      </c>
    </row>
    <row r="70" spans="2:51" hidden="1" x14ac:dyDescent="0.2">
      <c r="B70" s="1"/>
      <c r="E70" s="1"/>
      <c r="F70" s="1"/>
      <c r="G70" s="1"/>
      <c r="I70" s="1"/>
      <c r="J70" s="1"/>
      <c r="K70" s="1"/>
      <c r="M70" s="1"/>
      <c r="N70" s="1"/>
      <c r="O70" s="1"/>
      <c r="Q70" s="1"/>
      <c r="R70" s="1"/>
      <c r="S70" s="1"/>
      <c r="U70" s="1"/>
      <c r="V70" s="1"/>
      <c r="W70" s="1"/>
      <c r="Y70" s="1"/>
      <c r="Z70" s="1"/>
      <c r="AA70" s="1"/>
      <c r="AC70" s="1"/>
      <c r="AD70" s="1"/>
      <c r="AE70" s="1"/>
      <c r="AG70" s="1"/>
      <c r="AH70" s="1"/>
      <c r="AI70" s="1"/>
      <c r="AJ70" s="1"/>
      <c r="AK70" s="1"/>
      <c r="AL70" s="1"/>
      <c r="AM70" s="1"/>
      <c r="AN70" s="1"/>
      <c r="AO70" s="43"/>
      <c r="AP70" s="43"/>
      <c r="AQ70" s="43"/>
      <c r="AS70" s="28"/>
      <c r="AT70" s="28"/>
      <c r="AU70" s="28"/>
      <c r="AW70" s="11"/>
      <c r="AX70" s="11"/>
      <c r="AY70" s="22"/>
    </row>
    <row r="71" spans="2:51" x14ac:dyDescent="0.2">
      <c r="B71" s="1" t="s">
        <v>31</v>
      </c>
      <c r="E71" s="4">
        <f>+F10+F13+F16</f>
        <v>12500</v>
      </c>
      <c r="F71" s="4">
        <f>+F11+F14+F17</f>
        <v>12500</v>
      </c>
      <c r="G71" s="4">
        <f>SUM(E71:F71)</f>
        <v>25000</v>
      </c>
      <c r="I71" s="4">
        <f>+J10+J13+J16</f>
        <v>12500</v>
      </c>
      <c r="J71" s="4">
        <f>+J11+J14+J17</f>
        <v>17500</v>
      </c>
      <c r="K71" s="4">
        <f>SUM(I71:J71)</f>
        <v>30000</v>
      </c>
      <c r="M71" s="4">
        <f>+N10+N13+N16</f>
        <v>8423.75</v>
      </c>
      <c r="N71" s="4">
        <f>+N11+N14+N17</f>
        <v>13423.75</v>
      </c>
      <c r="O71" s="4">
        <f>SUM(M71:N71)</f>
        <v>21847.5</v>
      </c>
      <c r="Q71" s="4">
        <f>+R10+R13+R16</f>
        <v>8160</v>
      </c>
      <c r="R71" s="4">
        <f>+R11+R14+R17</f>
        <v>8160</v>
      </c>
      <c r="S71" s="4">
        <f>SUM(Q71:R71)</f>
        <v>16320</v>
      </c>
      <c r="U71" s="4">
        <f>+V10+V13+V16</f>
        <v>8000</v>
      </c>
      <c r="V71" s="4">
        <f>+V11+V14+V17</f>
        <v>8000</v>
      </c>
      <c r="W71" s="4">
        <f>SUM(U71:V71)</f>
        <v>16000</v>
      </c>
      <c r="Y71" s="4">
        <f>+Z10+Z13+Z16</f>
        <v>1562.5</v>
      </c>
      <c r="Z71" s="4">
        <f>+Z11+Z14+Z17</f>
        <v>7812.5</v>
      </c>
      <c r="AA71" s="4">
        <f>SUM(Y71:Z71)</f>
        <v>9375</v>
      </c>
      <c r="AC71" s="4">
        <f>+AD10+AD13+AD16</f>
        <v>1562.5</v>
      </c>
      <c r="AD71" s="4">
        <f>+AD11+AD14+AD17</f>
        <v>8187.5</v>
      </c>
      <c r="AE71" s="4">
        <f>SUM(AC71:AD71)</f>
        <v>9750</v>
      </c>
      <c r="AG71" s="4">
        <f>+AH10+AH13+AH16</f>
        <v>150</v>
      </c>
      <c r="AH71" s="4">
        <f>+AH11+AH14+AH17</f>
        <v>7487.5</v>
      </c>
      <c r="AI71" s="4">
        <f>SUM(AG71:AH71)</f>
        <v>7637.5</v>
      </c>
      <c r="AJ71" s="4"/>
      <c r="AK71" s="4">
        <f>+AL10+AL13+AL16</f>
        <v>4375</v>
      </c>
      <c r="AL71" s="4">
        <f>+AL11+AL14+AL17</f>
        <v>4375</v>
      </c>
      <c r="AM71" s="4">
        <f>SUM(AK71:AL71)</f>
        <v>8750</v>
      </c>
      <c r="AN71" s="4"/>
      <c r="AO71" s="45">
        <f>+AP10+AP13+AP16</f>
        <v>22556.28</v>
      </c>
      <c r="AP71" s="45">
        <f>+AP11+AP14+AP17</f>
        <v>9693.75</v>
      </c>
      <c r="AQ71" s="45">
        <f>SUM(AO71:AP71)</f>
        <v>32250.03</v>
      </c>
      <c r="AR71" s="36"/>
      <c r="AS71" s="28">
        <v>41200.04</v>
      </c>
      <c r="AT71" s="28">
        <v>8593.75</v>
      </c>
      <c r="AU71" s="28">
        <v>49793.79</v>
      </c>
      <c r="AW71" s="11">
        <v>201588.39</v>
      </c>
      <c r="AX71" s="11">
        <v>34680.25</v>
      </c>
      <c r="AY71" s="22">
        <v>236268.64</v>
      </c>
    </row>
    <row r="72" spans="2:51" hidden="1" x14ac:dyDescent="0.2">
      <c r="B72" s="1"/>
      <c r="E72" s="4"/>
      <c r="F72" s="4"/>
      <c r="G72" s="4"/>
      <c r="I72" s="4"/>
      <c r="J72" s="4"/>
      <c r="K72" s="4"/>
      <c r="M72" s="4"/>
      <c r="N72" s="4"/>
      <c r="O72" s="4"/>
      <c r="Q72" s="4"/>
      <c r="R72" s="4"/>
      <c r="S72" s="4"/>
      <c r="U72" s="4"/>
      <c r="V72" s="4"/>
      <c r="W72" s="4"/>
      <c r="Y72" s="4"/>
      <c r="Z72" s="4"/>
      <c r="AA72" s="4"/>
      <c r="AC72" s="4"/>
      <c r="AD72" s="4"/>
      <c r="AE72" s="4"/>
      <c r="AG72" s="4"/>
      <c r="AH72" s="4"/>
      <c r="AI72" s="4"/>
      <c r="AJ72" s="4"/>
      <c r="AK72" s="4"/>
      <c r="AL72" s="4"/>
      <c r="AM72" s="4"/>
      <c r="AN72" s="4"/>
      <c r="AO72" s="45"/>
      <c r="AP72" s="45"/>
      <c r="AQ72" s="45"/>
      <c r="AR72" s="36"/>
      <c r="AS72" s="28"/>
      <c r="AT72" s="28"/>
      <c r="AU72" s="28"/>
      <c r="AW72" s="11"/>
      <c r="AX72" s="11"/>
      <c r="AY72" s="22"/>
    </row>
    <row r="73" spans="2:51" x14ac:dyDescent="0.2">
      <c r="B73" s="1" t="s">
        <v>32</v>
      </c>
      <c r="E73" s="4">
        <f>+F28*I80</f>
        <v>0</v>
      </c>
      <c r="F73" s="4">
        <f>+F28*J80</f>
        <v>0</v>
      </c>
      <c r="G73" s="4">
        <f>SUM(E73:F73)</f>
        <v>0</v>
      </c>
      <c r="I73" s="4">
        <f>+J28*M80</f>
        <v>2553.0936379392319</v>
      </c>
      <c r="J73" s="4">
        <f>+J28*N80</f>
        <v>1040.0763620607684</v>
      </c>
      <c r="K73" s="4">
        <f>SUM(I73:J73)</f>
        <v>3593.17</v>
      </c>
      <c r="M73" s="4">
        <f>+N28*Q80</f>
        <v>-7090.5010903980428</v>
      </c>
      <c r="N73" s="4">
        <f>+N28*R80</f>
        <v>-2600.3889096019557</v>
      </c>
      <c r="O73" s="4">
        <f>SUM(M73:N73)</f>
        <v>-9690.89</v>
      </c>
      <c r="Q73" s="4">
        <f>+R28*U80</f>
        <v>7864.716527252559</v>
      </c>
      <c r="R73" s="4">
        <f>+R28*V80</f>
        <v>2696.8434727474391</v>
      </c>
      <c r="S73" s="4">
        <f>SUM(Q73:R73)</f>
        <v>10561.559999999998</v>
      </c>
      <c r="U73" s="4">
        <f>+V28*Y80</f>
        <v>-138.6143162210854</v>
      </c>
      <c r="V73" s="4">
        <f>+V28*Z80</f>
        <v>-44.149017112246881</v>
      </c>
      <c r="W73" s="4">
        <f>SUM(U73:V73)</f>
        <v>-182.7633333333323</v>
      </c>
      <c r="Y73" s="4">
        <f>+Z28*AC80</f>
        <v>-6129.3895325117046</v>
      </c>
      <c r="Z73" s="4">
        <f>+Z28*AD80</f>
        <v>-1767.2804674882964</v>
      </c>
      <c r="AA73" s="4">
        <f>SUM(Y73:Z73)</f>
        <v>-7896.670000000001</v>
      </c>
      <c r="AC73" s="4">
        <f>+AD28*AG80</f>
        <v>4754.967385041833</v>
      </c>
      <c r="AD73" s="4">
        <f>+AD28*AH80</f>
        <v>1228.7296556481733</v>
      </c>
      <c r="AE73" s="4">
        <f>SUM(AC73:AD73)</f>
        <v>5983.6970406900064</v>
      </c>
      <c r="AG73" s="4">
        <f>+AH28*AK80</f>
        <v>49630.279988056172</v>
      </c>
      <c r="AH73" s="4">
        <f>+AH28*AL80</f>
        <v>11430.560011943831</v>
      </c>
      <c r="AI73" s="4">
        <f>SUM(AG73:AH73)</f>
        <v>61060.840000000004</v>
      </c>
      <c r="AJ73" s="4"/>
      <c r="AK73" s="4">
        <f>+AL28*AO80</f>
        <v>23741.717159857872</v>
      </c>
      <c r="AL73" s="4">
        <f>+AL28*AP80</f>
        <v>5052.3828401421288</v>
      </c>
      <c r="AM73" s="4">
        <f>SUM(AK73:AL73)</f>
        <v>28794.1</v>
      </c>
      <c r="AN73" s="4"/>
      <c r="AO73" s="45">
        <f>+AP28*AS80</f>
        <v>-1307.42233774854</v>
      </c>
      <c r="AP73" s="45">
        <f>+AP28*AT80</f>
        <v>-243.56766225146001</v>
      </c>
      <c r="AQ73" s="45">
        <f>SUM(AO73:AP73)</f>
        <v>-1550.99</v>
      </c>
      <c r="AR73" s="36"/>
      <c r="AS73" s="28">
        <v>3443.1885000000011</v>
      </c>
      <c r="AT73" s="28">
        <v>607.6215000000002</v>
      </c>
      <c r="AU73" s="28">
        <v>4050.81</v>
      </c>
      <c r="AW73" s="11">
        <v>129.59511070576272</v>
      </c>
      <c r="AX73" s="11">
        <v>22.294889294237265</v>
      </c>
      <c r="AY73" s="22">
        <v>151.88999999999999</v>
      </c>
    </row>
    <row r="74" spans="2:51" hidden="1" x14ac:dyDescent="0.2">
      <c r="B74" s="1"/>
      <c r="E74" s="4"/>
      <c r="F74" s="4"/>
      <c r="G74" s="4"/>
      <c r="I74" s="4"/>
      <c r="J74" s="4"/>
      <c r="K74" s="4"/>
      <c r="M74" s="4"/>
      <c r="N74" s="4"/>
      <c r="O74" s="4"/>
      <c r="Q74" s="4"/>
      <c r="R74" s="4"/>
      <c r="S74" s="4"/>
      <c r="U74" s="4"/>
      <c r="V74" s="4"/>
      <c r="W74" s="4"/>
      <c r="Y74" s="4"/>
      <c r="Z74" s="4"/>
      <c r="AA74" s="4"/>
      <c r="AC74" s="4"/>
      <c r="AD74" s="4"/>
      <c r="AE74" s="4"/>
      <c r="AG74" s="4"/>
      <c r="AH74" s="4"/>
      <c r="AI74" s="4"/>
      <c r="AJ74" s="4"/>
      <c r="AK74" s="4"/>
      <c r="AL74" s="4"/>
      <c r="AM74" s="4"/>
      <c r="AN74" s="4"/>
      <c r="AO74" s="45"/>
      <c r="AP74" s="45"/>
      <c r="AQ74" s="45"/>
      <c r="AR74" s="36"/>
      <c r="AS74" s="28"/>
      <c r="AT74" s="28"/>
      <c r="AU74" s="28"/>
      <c r="AW74" s="11"/>
      <c r="AX74" s="11"/>
      <c r="AY74" s="22"/>
    </row>
    <row r="75" spans="2:51" hidden="1" x14ac:dyDescent="0.2">
      <c r="B75" s="1"/>
      <c r="E75" s="4"/>
      <c r="F75" s="4"/>
      <c r="G75" s="4"/>
      <c r="I75" s="4"/>
      <c r="J75" s="4"/>
      <c r="K75" s="4"/>
      <c r="M75" s="4"/>
      <c r="N75" s="4"/>
      <c r="O75" s="4"/>
      <c r="Q75" s="4"/>
      <c r="R75" s="4"/>
      <c r="S75" s="4"/>
      <c r="U75" s="4"/>
      <c r="V75" s="4"/>
      <c r="W75" s="4"/>
      <c r="Y75" s="4"/>
      <c r="Z75" s="4"/>
      <c r="AA75" s="4"/>
      <c r="AC75" s="4"/>
      <c r="AD75" s="4"/>
      <c r="AE75" s="4"/>
      <c r="AG75" s="4"/>
      <c r="AH75" s="4"/>
      <c r="AI75" s="4"/>
      <c r="AJ75" s="4"/>
      <c r="AK75" s="4"/>
      <c r="AL75" s="4"/>
      <c r="AM75" s="4"/>
      <c r="AN75" s="4"/>
      <c r="AO75" s="45"/>
      <c r="AP75" s="45"/>
      <c r="AQ75" s="45"/>
      <c r="AR75" s="36"/>
      <c r="AS75" s="28"/>
      <c r="AT75" s="28"/>
      <c r="AU75" s="28"/>
      <c r="AW75" s="11"/>
      <c r="AX75" s="11"/>
      <c r="AY75" s="22"/>
    </row>
    <row r="76" spans="2:51" x14ac:dyDescent="0.2">
      <c r="B76" s="1" t="s">
        <v>33</v>
      </c>
      <c r="E76" s="4">
        <f>+F37</f>
        <v>1166.99</v>
      </c>
      <c r="F76" s="4">
        <v>0</v>
      </c>
      <c r="G76" s="4">
        <f>SUM(E76:F76)</f>
        <v>1166.99</v>
      </c>
      <c r="I76" s="4">
        <f>+J37</f>
        <v>1326.89</v>
      </c>
      <c r="J76" s="4">
        <v>0</v>
      </c>
      <c r="K76" s="4">
        <f>SUM(I76:J76)</f>
        <v>1326.89</v>
      </c>
      <c r="M76" s="4">
        <f>+N37</f>
        <v>6308.69</v>
      </c>
      <c r="N76" s="4">
        <v>0</v>
      </c>
      <c r="O76" s="4">
        <f>SUM(M76:N76)</f>
        <v>6308.69</v>
      </c>
      <c r="Q76" s="4">
        <f>+R37</f>
        <v>6347.16</v>
      </c>
      <c r="R76" s="4">
        <v>0</v>
      </c>
      <c r="S76" s="4">
        <f>SUM(Q76:R76)</f>
        <v>6347.16</v>
      </c>
      <c r="U76" s="4">
        <f>+V37</f>
        <v>6368.16</v>
      </c>
      <c r="V76" s="4">
        <v>0</v>
      </c>
      <c r="W76" s="4">
        <f>SUM(U76:V76)</f>
        <v>6368.16</v>
      </c>
      <c r="Y76" s="4">
        <f>+Z37</f>
        <v>6390.7800000000007</v>
      </c>
      <c r="Z76" s="4">
        <v>0</v>
      </c>
      <c r="AA76" s="4">
        <f>SUM(Y76:Z76)</f>
        <v>6390.7800000000007</v>
      </c>
      <c r="AC76" s="4">
        <f>+AD37</f>
        <v>6467.05</v>
      </c>
      <c r="AD76" s="4">
        <v>0</v>
      </c>
      <c r="AE76" s="4">
        <f>SUM(AC76:AD76)</f>
        <v>6467.05</v>
      </c>
      <c r="AG76" s="4">
        <f>+AH37</f>
        <v>6207.98</v>
      </c>
      <c r="AH76" s="4">
        <v>0</v>
      </c>
      <c r="AI76" s="4">
        <f>SUM(AG76:AH76)</f>
        <v>6207.98</v>
      </c>
      <c r="AJ76" s="4"/>
      <c r="AK76" s="4">
        <f>+AL37</f>
        <v>6243.1100000000006</v>
      </c>
      <c r="AL76" s="4">
        <v>0</v>
      </c>
      <c r="AM76" s="4">
        <f>SUM(AK76:AL76)</f>
        <v>6243.1100000000006</v>
      </c>
      <c r="AN76" s="4"/>
      <c r="AO76" s="45">
        <f>+AP37</f>
        <v>6199.34</v>
      </c>
      <c r="AP76" s="45">
        <v>0</v>
      </c>
      <c r="AQ76" s="45">
        <f>SUM(AO76:AP76)</f>
        <v>6199.34</v>
      </c>
      <c r="AR76" s="36"/>
      <c r="AS76" s="28">
        <v>5898.32</v>
      </c>
      <c r="AT76" s="28"/>
      <c r="AU76" s="28">
        <v>5898.32</v>
      </c>
      <c r="AW76" s="11">
        <v>4795.4799999999996</v>
      </c>
      <c r="AX76" s="11">
        <v>0</v>
      </c>
      <c r="AY76" s="22">
        <v>4795.4799999999996</v>
      </c>
    </row>
    <row r="77" spans="2:51" hidden="1" x14ac:dyDescent="0.2">
      <c r="B77" s="1"/>
      <c r="E77" s="4"/>
      <c r="F77" s="4"/>
      <c r="G77" s="4"/>
      <c r="I77" s="4"/>
      <c r="J77" s="4"/>
      <c r="K77" s="4"/>
      <c r="M77" s="4"/>
      <c r="N77" s="4"/>
      <c r="O77" s="4"/>
      <c r="Q77" s="4"/>
      <c r="R77" s="4"/>
      <c r="S77" s="4"/>
      <c r="U77" s="4"/>
      <c r="V77" s="4"/>
      <c r="W77" s="4"/>
      <c r="Y77" s="4"/>
      <c r="Z77" s="4"/>
      <c r="AA77" s="4"/>
      <c r="AC77" s="4"/>
      <c r="AD77" s="4"/>
      <c r="AE77" s="4"/>
      <c r="AG77" s="4"/>
      <c r="AH77" s="4"/>
      <c r="AI77" s="4"/>
      <c r="AJ77" s="4"/>
      <c r="AK77" s="4"/>
      <c r="AL77" s="4"/>
      <c r="AM77" s="4"/>
      <c r="AN77" s="4"/>
      <c r="AO77" s="45"/>
      <c r="AP77" s="45"/>
      <c r="AQ77" s="45"/>
      <c r="AR77" s="36"/>
      <c r="AS77" s="28"/>
      <c r="AT77" s="28"/>
      <c r="AU77" s="28"/>
      <c r="AW77" s="11"/>
      <c r="AX77" s="11"/>
      <c r="AY77" s="22"/>
    </row>
    <row r="78" spans="2:51" hidden="1" x14ac:dyDescent="0.2">
      <c r="E78" s="4"/>
      <c r="F78" s="4"/>
      <c r="G78" s="4"/>
      <c r="I78" s="4"/>
      <c r="J78" s="4"/>
      <c r="K78" s="4"/>
      <c r="M78" s="4"/>
      <c r="N78" s="4"/>
      <c r="O78" s="4"/>
      <c r="Q78" s="4"/>
      <c r="R78" s="4"/>
      <c r="S78" s="4"/>
      <c r="U78" s="4"/>
      <c r="V78" s="4"/>
      <c r="W78" s="4"/>
      <c r="Y78" s="4"/>
      <c r="Z78" s="4"/>
      <c r="AA78" s="4"/>
      <c r="AC78" s="4"/>
      <c r="AD78" s="4"/>
      <c r="AE78" s="4"/>
      <c r="AG78" s="4"/>
      <c r="AH78" s="4"/>
      <c r="AI78" s="4"/>
      <c r="AJ78" s="4"/>
      <c r="AK78" s="4"/>
      <c r="AL78" s="4"/>
      <c r="AM78" s="4"/>
      <c r="AN78" s="4"/>
      <c r="AO78" s="45"/>
      <c r="AP78" s="45"/>
      <c r="AQ78" s="45"/>
      <c r="AR78" s="36"/>
      <c r="AS78" s="28"/>
      <c r="AT78" s="28"/>
      <c r="AU78" s="28"/>
      <c r="AW78" s="11"/>
      <c r="AX78" s="11"/>
      <c r="AY78" s="22"/>
    </row>
    <row r="79" spans="2:51" ht="13.5" thickBot="1" x14ac:dyDescent="0.25">
      <c r="B79" s="1" t="s">
        <v>454</v>
      </c>
      <c r="E79" s="5">
        <f>+I79+E71+E73-E76</f>
        <v>336310.14103197411</v>
      </c>
      <c r="F79" s="5">
        <f>+J79+F71+F73-F76</f>
        <v>157837.12267538262</v>
      </c>
      <c r="G79" s="5">
        <f>SUM(E79:F79)</f>
        <v>494147.26370735676</v>
      </c>
      <c r="I79" s="5">
        <f>+M79+I71+I73-I76</f>
        <v>324977.1310319741</v>
      </c>
      <c r="J79" s="5">
        <f>+N79+J71+J73-J76</f>
        <v>145337.12267538262</v>
      </c>
      <c r="K79" s="5">
        <f>SUM(I79:J79)</f>
        <v>470314.25370735675</v>
      </c>
      <c r="M79" s="5">
        <f>+Q79+M71+M73-M76</f>
        <v>311250.92739403486</v>
      </c>
      <c r="N79" s="5">
        <f>+R79+N71+N73-N76</f>
        <v>126797.04631332186</v>
      </c>
      <c r="O79" s="5">
        <f>SUM(M79:N79)</f>
        <v>438047.97370735672</v>
      </c>
      <c r="Q79" s="5">
        <f>+U79+Q71+Q73-Q76</f>
        <v>316226.36848443293</v>
      </c>
      <c r="R79" s="5">
        <f>+V79+R71+R73-R76</f>
        <v>115973.68522292381</v>
      </c>
      <c r="S79" s="5">
        <f>SUM(Q79:R79)</f>
        <v>432200.05370735674</v>
      </c>
      <c r="U79" s="5">
        <f>+Y79+U71+U73-U76</f>
        <v>306548.81195718033</v>
      </c>
      <c r="V79" s="5">
        <f>+Z79+V71+V73-V76</f>
        <v>105116.84175017638</v>
      </c>
      <c r="W79" s="5">
        <f>SUM(U79:V79)</f>
        <v>411665.65370735672</v>
      </c>
      <c r="Y79" s="5">
        <f>+AC79+Y71+Y73-Y76</f>
        <v>305055.58627340139</v>
      </c>
      <c r="Z79" s="5">
        <f>+AD79+Z71+Z73-Z76</f>
        <v>97160.990767288618</v>
      </c>
      <c r="AA79" s="5">
        <f>SUM(Y79:Z79)</f>
        <v>402216.57704069</v>
      </c>
      <c r="AC79" s="5">
        <f>+AG79+AC71+AC73-AC76</f>
        <v>316013.25580591313</v>
      </c>
      <c r="AD79" s="5">
        <f>+AH79+AD71+AD73-AD76</f>
        <v>91115.771234776912</v>
      </c>
      <c r="AE79" s="5">
        <f>SUM(AC79:AD79)</f>
        <v>407129.02704069007</v>
      </c>
      <c r="AG79" s="5">
        <f>+AK79+AG71+AG73-AG76</f>
        <v>316162.8384208713</v>
      </c>
      <c r="AH79" s="5">
        <f>+AL79+AH71+AH73-AH76</f>
        <v>81699.541579128738</v>
      </c>
      <c r="AI79" s="5">
        <f>SUM(AG79:AH79)</f>
        <v>397862.38</v>
      </c>
      <c r="AJ79" s="5"/>
      <c r="AK79" s="5">
        <f>+AO79+AK71+AK73-AK76</f>
        <v>272590.53843281511</v>
      </c>
      <c r="AL79" s="5">
        <f>+AP79+AL71+AL73-AL76</f>
        <v>62781.481567184906</v>
      </c>
      <c r="AM79" s="5">
        <f>SUM(AK79:AL79)</f>
        <v>335372.02</v>
      </c>
      <c r="AN79" s="5"/>
      <c r="AO79" s="46">
        <f>+AS79+AO71+AO73-AO76</f>
        <v>250716.93127295721</v>
      </c>
      <c r="AP79" s="46">
        <f>+AT79+AP71+AP73-AP76</f>
        <v>53354.09872704278</v>
      </c>
      <c r="AQ79" s="46">
        <f>SUM(AO79:AP79)</f>
        <v>304071.02999999997</v>
      </c>
      <c r="AR79" s="37"/>
      <c r="AS79" s="29">
        <v>235667.41361070576</v>
      </c>
      <c r="AT79" s="40">
        <v>43903.916389294238</v>
      </c>
      <c r="AU79" s="29">
        <v>279571.33</v>
      </c>
      <c r="AV79" s="41"/>
      <c r="AW79" s="42">
        <v>196922.50511070577</v>
      </c>
      <c r="AX79" s="42">
        <v>34702.544889294237</v>
      </c>
      <c r="AY79" s="23">
        <v>231625.05</v>
      </c>
    </row>
    <row r="80" spans="2:51" ht="13.5" thickTop="1" x14ac:dyDescent="0.2">
      <c r="E80" s="25">
        <f>+E79/G79</f>
        <v>0.68058687304832122</v>
      </c>
      <c r="F80" s="25">
        <f>+F79/G79</f>
        <v>0.31941312695167873</v>
      </c>
      <c r="G80" s="4">
        <f>+G79-K79</f>
        <v>23833.010000000009</v>
      </c>
      <c r="I80" s="25">
        <f>+I79/K79</f>
        <v>0.69097869875358775</v>
      </c>
      <c r="J80" s="25">
        <f>+J79/K79</f>
        <v>0.30902130124641219</v>
      </c>
      <c r="K80" s="4">
        <f>+K79-O79</f>
        <v>32266.280000000028</v>
      </c>
      <c r="M80" s="25">
        <f>+M79/O79</f>
        <v>0.71054073086974223</v>
      </c>
      <c r="N80" s="25">
        <f>+N79/O79</f>
        <v>0.28945926913025777</v>
      </c>
      <c r="O80" s="4">
        <f>+O79-S79</f>
        <v>5847.9199999999837</v>
      </c>
      <c r="Q80" s="25">
        <f>+Q79/S79</f>
        <v>0.73166665707670231</v>
      </c>
      <c r="R80" s="25">
        <f>+R79/S79</f>
        <v>0.26833334292329764</v>
      </c>
      <c r="S80" s="4">
        <f>+S79-W79</f>
        <v>20534.400000000023</v>
      </c>
      <c r="U80" s="25">
        <f>+U79/W79</f>
        <v>0.74465481683127865</v>
      </c>
      <c r="V80" s="25">
        <f>+V79/W79</f>
        <v>0.25534518316872123</v>
      </c>
      <c r="W80" s="4">
        <f>+W79-AA79</f>
        <v>9449.0766666667187</v>
      </c>
      <c r="Y80" s="25">
        <f>+Y79/AA79</f>
        <v>0.75843613537226395</v>
      </c>
      <c r="Z80" s="25">
        <f>+Z79/AA79</f>
        <v>0.24156386462773607</v>
      </c>
      <c r="AA80" s="4">
        <f>+AA79-AE79</f>
        <v>-4912.4500000000698</v>
      </c>
      <c r="AC80" s="25">
        <f>+AC79/AE79</f>
        <v>0.77619927545556588</v>
      </c>
      <c r="AD80" s="25">
        <f>+AD79/AE79</f>
        <v>0.22380072454443403</v>
      </c>
      <c r="AE80" s="4">
        <f>+AE79-AI79</f>
        <v>9266.6470406900626</v>
      </c>
      <c r="AG80" s="25">
        <f>+AG79/AI79</f>
        <v>0.79465376550773992</v>
      </c>
      <c r="AH80" s="25">
        <f>+AH79/AI79</f>
        <v>0.20534623449226019</v>
      </c>
      <c r="AI80" s="4">
        <f>+AI79-AM79</f>
        <v>62490.359999999986</v>
      </c>
      <c r="AJ80" s="4"/>
      <c r="AK80" s="25">
        <f>+AK79/AM79</f>
        <v>0.81280047880206319</v>
      </c>
      <c r="AL80" s="25">
        <f>+AL79/AM79</f>
        <v>0.18719952119793687</v>
      </c>
      <c r="AM80" s="4">
        <f>+AM79-AQ79</f>
        <v>31300.990000000049</v>
      </c>
      <c r="AN80" s="4"/>
      <c r="AO80" s="49">
        <f>+AO79/AQ79</f>
        <v>0.82453409413240464</v>
      </c>
      <c r="AP80" s="49">
        <f>+AP79/AQ79</f>
        <v>0.17546590586759542</v>
      </c>
      <c r="AQ80" s="45">
        <f>+AQ79-AU79</f>
        <v>24499.699999999953</v>
      </c>
      <c r="AR80" s="36"/>
      <c r="AS80" s="31">
        <f>+AS79/AU79</f>
        <v>0.84295987578807074</v>
      </c>
      <c r="AT80" s="31">
        <f>+AT79/AU79</f>
        <v>0.15704012421192914</v>
      </c>
      <c r="AU80" s="28">
        <v>47946.28</v>
      </c>
      <c r="AW80" s="24">
        <f>+AW79/AY79</f>
        <v>0.85017792812437931</v>
      </c>
      <c r="AX80" s="24">
        <f>+AX79/AY79</f>
        <v>0.14982207187562069</v>
      </c>
      <c r="AY80" s="20"/>
    </row>
    <row r="81" spans="2:51" x14ac:dyDescent="0.2">
      <c r="F81" s="50" t="s">
        <v>100</v>
      </c>
      <c r="G81" s="58">
        <f>+G80/K79</f>
        <v>5.0674649581914658E-2</v>
      </c>
      <c r="J81" s="50" t="s">
        <v>100</v>
      </c>
      <c r="K81" s="58">
        <f>+K80/O79</f>
        <v>7.3659238112481054E-2</v>
      </c>
      <c r="N81" s="50" t="s">
        <v>100</v>
      </c>
      <c r="O81" s="58">
        <f>+O80/S79</f>
        <v>1.3530586009504799E-2</v>
      </c>
      <c r="R81" s="50" t="s">
        <v>100</v>
      </c>
      <c r="S81" s="58">
        <f>+S80/W79</f>
        <v>4.9881256342549862E-2</v>
      </c>
      <c r="V81" s="50" t="s">
        <v>100</v>
      </c>
      <c r="W81" s="58">
        <f>+W80/AA79</f>
        <v>2.3492509274949173E-2</v>
      </c>
      <c r="Z81" s="50" t="s">
        <v>100</v>
      </c>
      <c r="AA81" s="58">
        <f>+AA80/AE79</f>
        <v>-1.2066076535262862E-2</v>
      </c>
      <c r="AD81" s="50" t="s">
        <v>100</v>
      </c>
      <c r="AE81" s="58">
        <f>+AE80/AI79</f>
        <v>2.3291086331635735E-2</v>
      </c>
      <c r="AH81" s="50" t="s">
        <v>100</v>
      </c>
      <c r="AI81" s="58">
        <f>+AI80/AM79</f>
        <v>0.18633146557664526</v>
      </c>
      <c r="AL81" s="50" t="s">
        <v>100</v>
      </c>
      <c r="AM81" s="58">
        <f>+AM80/AQ79</f>
        <v>0.10293973089116727</v>
      </c>
      <c r="AP81" s="50" t="s">
        <v>100</v>
      </c>
      <c r="AQ81" s="58">
        <f>+AQ80/AU79</f>
        <v>8.7633091705075591E-2</v>
      </c>
      <c r="AS81" s="8"/>
      <c r="AT81" s="50" t="s">
        <v>100</v>
      </c>
      <c r="AU81" s="58">
        <f>+AU80/AY79</f>
        <v>0.20699954517009278</v>
      </c>
    </row>
    <row r="82" spans="2:51" x14ac:dyDescent="0.2">
      <c r="B82" s="1" t="s">
        <v>274</v>
      </c>
      <c r="AI82" s="8">
        <f>+AH63-AI79</f>
        <v>0</v>
      </c>
      <c r="AJ82" s="8"/>
      <c r="AM82" s="8">
        <f>+AL63-AM79</f>
        <v>0</v>
      </c>
      <c r="AQ82" s="38">
        <f>+AP63-AQ79</f>
        <v>0</v>
      </c>
      <c r="AR82" s="38"/>
      <c r="AT82" s="8"/>
    </row>
    <row r="83" spans="2:51" x14ac:dyDescent="0.2">
      <c r="B83" t="s">
        <v>57</v>
      </c>
      <c r="G83" s="8">
        <f>+$AY$8</f>
        <v>196482.89</v>
      </c>
      <c r="K83" s="8">
        <f>+$AY$8</f>
        <v>196482.89</v>
      </c>
      <c r="O83" s="8">
        <f>+$AY$8</f>
        <v>196482.89</v>
      </c>
      <c r="S83" s="8">
        <f>+$AY$8</f>
        <v>196482.89</v>
      </c>
      <c r="W83" s="8">
        <f>+$AY$8</f>
        <v>196482.89</v>
      </c>
      <c r="AA83" s="8">
        <f>+$AY$8</f>
        <v>196482.89</v>
      </c>
      <c r="AE83" s="8">
        <f>+$AY$8</f>
        <v>196482.89</v>
      </c>
      <c r="AI83" s="8">
        <f>+$AY$8</f>
        <v>196482.89</v>
      </c>
      <c r="AM83" s="8">
        <f>+$AY$8</f>
        <v>196482.89</v>
      </c>
      <c r="AQ83" s="8">
        <f>+$AY$8</f>
        <v>196482.89</v>
      </c>
      <c r="AU83" s="8">
        <f>+$AY$8</f>
        <v>196482.89</v>
      </c>
      <c r="AY83" s="8">
        <f>+$AY$8</f>
        <v>196482.89</v>
      </c>
    </row>
    <row r="84" spans="2:51" x14ac:dyDescent="0.2">
      <c r="B84" t="s">
        <v>58</v>
      </c>
      <c r="G84" s="8">
        <f>+K84+G71</f>
        <v>266509.57</v>
      </c>
      <c r="K84" s="8">
        <f>+O84+K71</f>
        <v>241509.57</v>
      </c>
      <c r="O84" s="8">
        <f>+S84+O71</f>
        <v>211509.57</v>
      </c>
      <c r="S84" s="8">
        <f>+W84+S71</f>
        <v>189662.07</v>
      </c>
      <c r="W84" s="8">
        <f>+AA84+W71</f>
        <v>173342.07</v>
      </c>
      <c r="AA84" s="8">
        <f>+AE84+AA71</f>
        <v>157342.07</v>
      </c>
      <c r="AE84" s="8">
        <f>+AC71+AD71+AG71+AH71+AK71+AL71+AO71+AP71+AS71+AT71+AW71+AX71-AE83</f>
        <v>147967.07</v>
      </c>
      <c r="AI84" s="8">
        <f>+AG71+AH71+AK71+AL71+AO71+AP71+AS71+AT71+AW71+AX71+BA71+BB71-AI83</f>
        <v>138217.07</v>
      </c>
      <c r="AM84" s="8">
        <f>+AK71+AL71+AO71+AP71+AS71+AT71+AW71+AX71+BA71+BB71+BE71+BF71-AM83</f>
        <v>130579.57</v>
      </c>
      <c r="AQ84" s="8">
        <f>+AO71+AP71+AS71+AT71+AW71+AX71+BA71+BB71+BE71+BF71+BI71+BJ71-AQ83</f>
        <v>121829.57</v>
      </c>
      <c r="AU84" s="8">
        <f>+AS71+AT71+AW71+AX71+BA71+BB71+BE71+BF71+BI71+BJ71+BM71+BN71-AU83</f>
        <v>89579.540000000037</v>
      </c>
      <c r="AY84" s="8">
        <f>+AW71+AX71+BA71+BB71+BE71+BF71+BI71+BJ71+BM71+BN71+BQ71+BR71-AY83</f>
        <v>39785.75</v>
      </c>
    </row>
    <row r="85" spans="2:51" x14ac:dyDescent="0.2">
      <c r="B85" t="s">
        <v>59</v>
      </c>
      <c r="G85" s="8">
        <f>+K85+G73</f>
        <v>94874.753707356649</v>
      </c>
      <c r="K85" s="8">
        <f>+O85+K73</f>
        <v>94874.753707356649</v>
      </c>
      <c r="O85" s="8">
        <f>+S85+O73</f>
        <v>91281.583707356651</v>
      </c>
      <c r="S85" s="8">
        <f>+W85+S73</f>
        <v>100972.47370735665</v>
      </c>
      <c r="W85" s="8">
        <f>+AA85+W73</f>
        <v>90410.913707356653</v>
      </c>
      <c r="AA85" s="8">
        <f>+AE85+AA73</f>
        <v>90593.677040689989</v>
      </c>
      <c r="AE85" s="8">
        <f>+AE73+AI73+AM73+AQ73+AU73+AY73</f>
        <v>98490.347040689987</v>
      </c>
      <c r="AI85" s="8">
        <f>+AI73+AM73+AQ73+AU73+AY73+BC73</f>
        <v>92506.65</v>
      </c>
      <c r="AM85" s="8">
        <f>+AM73+AQ73+AU73+AY73+BC73+BG73</f>
        <v>31445.809999999998</v>
      </c>
      <c r="AQ85" s="8">
        <f>+AQ73+AU73+AY73+BC73+BG73+BK73</f>
        <v>2651.7099999999996</v>
      </c>
      <c r="AU85" s="8">
        <f>+AU73+AY73+BC73+BG73+BK73+BO73</f>
        <v>4202.7</v>
      </c>
      <c r="AY85" s="8">
        <f>+AY73+BC73+BG73+BK73+BO73+BS73</f>
        <v>151.88999999999999</v>
      </c>
    </row>
    <row r="86" spans="2:51" x14ac:dyDescent="0.2">
      <c r="B86" t="s">
        <v>33</v>
      </c>
      <c r="G86" s="8">
        <f>+K86-G76</f>
        <v>-63719.950000000004</v>
      </c>
      <c r="K86" s="8">
        <f>+O86-K76</f>
        <v>-62552.960000000006</v>
      </c>
      <c r="O86" s="8">
        <f>+S86-O76</f>
        <v>-61226.070000000007</v>
      </c>
      <c r="S86" s="8">
        <f>+W86-S76</f>
        <v>-54917.380000000005</v>
      </c>
      <c r="W86" s="8">
        <f>+AA86-W76</f>
        <v>-48570.22</v>
      </c>
      <c r="AA86" s="8">
        <f>+AE86-AA76</f>
        <v>-42202.06</v>
      </c>
      <c r="AE86" s="8">
        <f>-AY76-AU76-AQ76-AM76-AI76-AE76</f>
        <v>-35811.279999999999</v>
      </c>
      <c r="AI86" s="8">
        <f>-BC76-AY76-AU76-AQ76-AM76-AI76</f>
        <v>-29344.23</v>
      </c>
      <c r="AM86" s="8">
        <f>-BG76-BC76-AY76-AU76-AQ76-AM76</f>
        <v>-23136.25</v>
      </c>
      <c r="AQ86" s="8">
        <f>-BK76-BG76-BC76-AY76-AU76-AQ76</f>
        <v>-16893.14</v>
      </c>
      <c r="AU86" s="8">
        <f>-BO76-BK76-BG76-BC76-AY76-AU76</f>
        <v>-10693.8</v>
      </c>
      <c r="AY86" s="8">
        <f>-BS76-BO76-BK76-BG76-BC76-AY76</f>
        <v>-4795.4799999999996</v>
      </c>
    </row>
    <row r="87" spans="2:51" ht="13.5" thickBot="1" x14ac:dyDescent="0.25">
      <c r="G87" s="55">
        <f>SUM(G83:G86)</f>
        <v>494147.2637073567</v>
      </c>
      <c r="K87" s="55">
        <f>SUM(K83:K86)</f>
        <v>470314.25370735669</v>
      </c>
      <c r="O87" s="55">
        <f>SUM(O83:O86)</f>
        <v>438047.97370735666</v>
      </c>
      <c r="S87" s="55">
        <f>SUM(S83:S86)</f>
        <v>432200.05370735668</v>
      </c>
      <c r="W87" s="55">
        <f>SUM(W83:W86)</f>
        <v>411665.65370735666</v>
      </c>
      <c r="AA87" s="55">
        <f>SUM(AA83:AA86)</f>
        <v>402216.57704069</v>
      </c>
      <c r="AE87" s="55">
        <f>SUM(AE83:AE86)</f>
        <v>407129.02704068995</v>
      </c>
      <c r="AI87" s="55">
        <f>SUM(AI83:AI86)</f>
        <v>397862.38</v>
      </c>
      <c r="AM87" s="55">
        <f>SUM(AM83:AM86)</f>
        <v>335372.02</v>
      </c>
      <c r="AQ87" s="55">
        <f>SUM(AQ83:AQ86)</f>
        <v>304071.03000000003</v>
      </c>
      <c r="AU87" s="55">
        <f>SUM(AU83:AU86)</f>
        <v>279571.33000000007</v>
      </c>
      <c r="AY87" s="55">
        <f>SUM(AY83:AY86)</f>
        <v>231625.05000000002</v>
      </c>
    </row>
    <row r="88" spans="2:51" ht="13.5" thickTop="1" x14ac:dyDescent="0.2"/>
    <row r="90" spans="2:51" x14ac:dyDescent="0.2">
      <c r="B90" t="s">
        <v>355</v>
      </c>
      <c r="G90" s="8">
        <f>+F19</f>
        <v>25000</v>
      </c>
      <c r="K90" s="8">
        <f>+J19</f>
        <v>30000</v>
      </c>
      <c r="O90" s="8">
        <f>+N19</f>
        <v>21847.5</v>
      </c>
      <c r="S90" s="8">
        <f>+R19</f>
        <v>16320</v>
      </c>
      <c r="W90" s="8">
        <f>+V19</f>
        <v>16000</v>
      </c>
      <c r="AA90" s="8">
        <f>+Z19</f>
        <v>9375</v>
      </c>
    </row>
    <row r="91" spans="2:51" x14ac:dyDescent="0.2">
      <c r="B91" t="s">
        <v>356</v>
      </c>
      <c r="G91" s="8">
        <f>-F37</f>
        <v>-1166.99</v>
      </c>
      <c r="K91" s="8">
        <f>-J37</f>
        <v>-1326.89</v>
      </c>
      <c r="O91" s="8">
        <f>-N37</f>
        <v>-6308.69</v>
      </c>
      <c r="S91" s="8">
        <f>-R37</f>
        <v>-6347.16</v>
      </c>
      <c r="W91" s="8">
        <f>-V37</f>
        <v>-6368.16</v>
      </c>
      <c r="AA91" s="8">
        <f>-Z37</f>
        <v>-6390.7800000000007</v>
      </c>
    </row>
    <row r="92" spans="2:51" x14ac:dyDescent="0.2">
      <c r="B92" t="s">
        <v>357</v>
      </c>
      <c r="G92" s="8">
        <f>+G90+G91</f>
        <v>23833.01</v>
      </c>
      <c r="K92" s="8">
        <f>+K90+K91</f>
        <v>28673.11</v>
      </c>
      <c r="O92" s="8">
        <f>+O90+O91</f>
        <v>15538.810000000001</v>
      </c>
      <c r="S92" s="8">
        <f>+S90+S91</f>
        <v>9972.84</v>
      </c>
      <c r="W92" s="8">
        <f>+W90+W91</f>
        <v>9631.84</v>
      </c>
      <c r="AA92" s="8">
        <f>+AA90+AA91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5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212</v>
      </c>
      <c r="C1" s="109" t="s">
        <v>213</v>
      </c>
      <c r="D1" s="109" t="s">
        <v>214</v>
      </c>
      <c r="E1" s="109" t="s">
        <v>215</v>
      </c>
      <c r="F1" s="109" t="s">
        <v>216</v>
      </c>
      <c r="G1" s="109" t="s">
        <v>275</v>
      </c>
      <c r="H1" s="110" t="s">
        <v>217</v>
      </c>
      <c r="I1" s="111" t="s">
        <v>248</v>
      </c>
      <c r="J1" s="111" t="s">
        <v>265</v>
      </c>
      <c r="K1" s="111" t="s">
        <v>268</v>
      </c>
    </row>
    <row r="2" spans="1:11" ht="13.5" hidden="1" customHeight="1" outlineLevel="2" x14ac:dyDescent="0.2">
      <c r="A2" s="85"/>
      <c r="B2" s="79" t="s">
        <v>218</v>
      </c>
      <c r="C2" s="79" t="s">
        <v>219</v>
      </c>
      <c r="D2" s="79" t="s">
        <v>126</v>
      </c>
      <c r="E2" s="79" t="s">
        <v>220</v>
      </c>
      <c r="F2" s="80">
        <v>20000</v>
      </c>
      <c r="G2" s="80">
        <v>5223.91</v>
      </c>
      <c r="H2" s="86" t="s">
        <v>221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249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218</v>
      </c>
      <c r="C4" s="82" t="s">
        <v>219</v>
      </c>
      <c r="D4" s="82" t="s">
        <v>222</v>
      </c>
      <c r="E4" s="82" t="s">
        <v>223</v>
      </c>
      <c r="F4" s="83">
        <v>18831</v>
      </c>
      <c r="G4" s="83">
        <v>11166.78</v>
      </c>
      <c r="H4" s="88" t="s">
        <v>221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218</v>
      </c>
      <c r="C5" s="79" t="s">
        <v>219</v>
      </c>
      <c r="D5" s="79" t="s">
        <v>222</v>
      </c>
      <c r="E5" s="79" t="s">
        <v>223</v>
      </c>
      <c r="F5" s="80">
        <v>5000</v>
      </c>
      <c r="G5" s="80">
        <v>2965</v>
      </c>
      <c r="H5" s="86" t="s">
        <v>221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250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218</v>
      </c>
      <c r="C7" s="82" t="s">
        <v>219</v>
      </c>
      <c r="D7" s="82" t="s">
        <v>224</v>
      </c>
      <c r="E7" s="82" t="s">
        <v>225</v>
      </c>
      <c r="F7" s="83">
        <v>1000</v>
      </c>
      <c r="G7" s="83">
        <v>2117.5</v>
      </c>
      <c r="H7" s="88" t="s">
        <v>221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218</v>
      </c>
      <c r="C8" s="79" t="s">
        <v>219</v>
      </c>
      <c r="D8" s="79" t="s">
        <v>224</v>
      </c>
      <c r="E8" s="79" t="s">
        <v>225</v>
      </c>
      <c r="F8" s="80">
        <v>2000</v>
      </c>
      <c r="G8" s="80">
        <v>4235</v>
      </c>
      <c r="H8" s="86" t="s">
        <v>221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218</v>
      </c>
      <c r="C9" s="82" t="s">
        <v>219</v>
      </c>
      <c r="D9" s="82" t="s">
        <v>224</v>
      </c>
      <c r="E9" s="82" t="s">
        <v>225</v>
      </c>
      <c r="F9" s="83">
        <v>1000</v>
      </c>
      <c r="G9" s="83">
        <v>2117.5</v>
      </c>
      <c r="H9" s="88" t="s">
        <v>221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251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218</v>
      </c>
      <c r="C11" s="79" t="s">
        <v>219</v>
      </c>
      <c r="D11" s="79" t="s">
        <v>226</v>
      </c>
      <c r="E11" s="79" t="s">
        <v>227</v>
      </c>
      <c r="F11" s="80">
        <v>541166</v>
      </c>
      <c r="G11" s="80">
        <v>3791.41</v>
      </c>
      <c r="H11" s="86" t="s">
        <v>221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252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218</v>
      </c>
      <c r="C13" s="82" t="s">
        <v>219</v>
      </c>
      <c r="D13" s="82" t="s">
        <v>228</v>
      </c>
      <c r="E13" s="82" t="s">
        <v>229</v>
      </c>
      <c r="F13" s="84">
        <v>400</v>
      </c>
      <c r="G13" s="83">
        <v>4640</v>
      </c>
      <c r="H13" s="88" t="s">
        <v>221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218</v>
      </c>
      <c r="C14" s="79" t="s">
        <v>219</v>
      </c>
      <c r="D14" s="79" t="s">
        <v>228</v>
      </c>
      <c r="E14" s="79" t="s">
        <v>229</v>
      </c>
      <c r="F14" s="81">
        <v>200</v>
      </c>
      <c r="G14" s="80">
        <v>2320</v>
      </c>
      <c r="H14" s="86" t="s">
        <v>221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218</v>
      </c>
      <c r="C15" s="82" t="s">
        <v>219</v>
      </c>
      <c r="D15" s="82" t="s">
        <v>228</v>
      </c>
      <c r="E15" s="82" t="s">
        <v>229</v>
      </c>
      <c r="F15" s="84">
        <v>200</v>
      </c>
      <c r="G15" s="83">
        <v>2320</v>
      </c>
      <c r="H15" s="88" t="s">
        <v>221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253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218</v>
      </c>
      <c r="C17" s="79" t="s">
        <v>219</v>
      </c>
      <c r="D17" s="79" t="s">
        <v>75</v>
      </c>
      <c r="E17" s="79" t="s">
        <v>230</v>
      </c>
      <c r="F17" s="80">
        <v>2445473</v>
      </c>
      <c r="G17" s="80">
        <v>3232.92</v>
      </c>
      <c r="H17" s="86" t="s">
        <v>221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254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218</v>
      </c>
      <c r="C19" s="82" t="s">
        <v>219</v>
      </c>
      <c r="D19" s="82" t="s">
        <v>231</v>
      </c>
      <c r="E19" s="82" t="s">
        <v>232</v>
      </c>
      <c r="F19" s="83">
        <v>1916</v>
      </c>
      <c r="G19" s="83">
        <v>3487.12</v>
      </c>
      <c r="H19" s="88" t="s">
        <v>221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255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218</v>
      </c>
      <c r="C21" s="79" t="s">
        <v>219</v>
      </c>
      <c r="D21" s="79" t="s">
        <v>233</v>
      </c>
      <c r="E21" s="79" t="s">
        <v>234</v>
      </c>
      <c r="F21" s="80">
        <v>5464</v>
      </c>
      <c r="G21" s="80">
        <v>12425.14</v>
      </c>
      <c r="H21" s="86" t="s">
        <v>221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256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218</v>
      </c>
      <c r="C23" s="82" t="s">
        <v>219</v>
      </c>
      <c r="D23" s="82" t="s">
        <v>81</v>
      </c>
      <c r="E23" s="82" t="s">
        <v>235</v>
      </c>
      <c r="F23" s="83">
        <v>122508</v>
      </c>
      <c r="G23" s="83">
        <v>7007.58</v>
      </c>
      <c r="H23" s="88" t="s">
        <v>221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218</v>
      </c>
      <c r="C24" s="79" t="s">
        <v>219</v>
      </c>
      <c r="D24" s="79" t="s">
        <v>81</v>
      </c>
      <c r="E24" s="79" t="s">
        <v>235</v>
      </c>
      <c r="F24" s="80">
        <v>122508</v>
      </c>
      <c r="G24" s="80">
        <v>7007.58</v>
      </c>
      <c r="H24" s="86" t="s">
        <v>221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257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218</v>
      </c>
      <c r="C26" s="82" t="s">
        <v>219</v>
      </c>
      <c r="D26" s="82" t="s">
        <v>236</v>
      </c>
      <c r="E26" s="82" t="s">
        <v>237</v>
      </c>
      <c r="F26" s="83">
        <v>1887945</v>
      </c>
      <c r="G26" s="83">
        <v>10006.11</v>
      </c>
      <c r="H26" s="88" t="s">
        <v>221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258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218</v>
      </c>
      <c r="C28" s="79" t="s">
        <v>219</v>
      </c>
      <c r="D28" s="79" t="s">
        <v>238</v>
      </c>
      <c r="E28" s="79" t="s">
        <v>239</v>
      </c>
      <c r="F28" s="80">
        <v>2000</v>
      </c>
      <c r="G28" s="80">
        <v>4886</v>
      </c>
      <c r="H28" s="86" t="s">
        <v>221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218</v>
      </c>
      <c r="C29" s="82" t="s">
        <v>219</v>
      </c>
      <c r="D29" s="82" t="s">
        <v>238</v>
      </c>
      <c r="E29" s="82" t="s">
        <v>239</v>
      </c>
      <c r="F29" s="83">
        <v>9111</v>
      </c>
      <c r="G29" s="83">
        <v>22258.17</v>
      </c>
      <c r="H29" s="88" t="s">
        <v>221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218</v>
      </c>
      <c r="C30" s="79" t="s">
        <v>219</v>
      </c>
      <c r="D30" s="79" t="s">
        <v>238</v>
      </c>
      <c r="E30" s="79" t="s">
        <v>239</v>
      </c>
      <c r="F30" s="80">
        <v>2000</v>
      </c>
      <c r="G30" s="80">
        <v>4886</v>
      </c>
      <c r="H30" s="86" t="s">
        <v>221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259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218</v>
      </c>
      <c r="C32" s="82" t="s">
        <v>219</v>
      </c>
      <c r="D32" s="82" t="s">
        <v>240</v>
      </c>
      <c r="E32" s="82" t="s">
        <v>241</v>
      </c>
      <c r="F32" s="83">
        <v>2000</v>
      </c>
      <c r="G32" s="83">
        <v>4444</v>
      </c>
      <c r="H32" s="88" t="s">
        <v>221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218</v>
      </c>
      <c r="C33" s="79" t="s">
        <v>219</v>
      </c>
      <c r="D33" s="79" t="s">
        <v>240</v>
      </c>
      <c r="E33" s="79" t="s">
        <v>241</v>
      </c>
      <c r="F33" s="80">
        <v>2000</v>
      </c>
      <c r="G33" s="80">
        <v>4444</v>
      </c>
      <c r="H33" s="86" t="s">
        <v>221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260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218</v>
      </c>
      <c r="C35" s="82" t="s">
        <v>219</v>
      </c>
      <c r="D35" s="82" t="s">
        <v>242</v>
      </c>
      <c r="E35" s="82" t="s">
        <v>243</v>
      </c>
      <c r="F35" s="83">
        <v>3000</v>
      </c>
      <c r="G35" s="83">
        <v>4687.5</v>
      </c>
      <c r="H35" s="88" t="s">
        <v>221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261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218</v>
      </c>
      <c r="C37" s="79" t="s">
        <v>219</v>
      </c>
      <c r="D37" s="79" t="s">
        <v>244</v>
      </c>
      <c r="E37" s="79" t="s">
        <v>245</v>
      </c>
      <c r="F37" s="80">
        <v>27275</v>
      </c>
      <c r="G37" s="80">
        <v>7154.1</v>
      </c>
      <c r="H37" s="86" t="s">
        <v>221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262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218</v>
      </c>
      <c r="C39" s="90" t="s">
        <v>219</v>
      </c>
      <c r="D39" s="90" t="s">
        <v>246</v>
      </c>
      <c r="E39" s="90" t="s">
        <v>247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263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264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269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266</v>
      </c>
      <c r="G45">
        <v>161793.46</v>
      </c>
    </row>
    <row r="46" spans="1:11" ht="13.5" customHeight="1" x14ac:dyDescent="0.2">
      <c r="E46" t="s">
        <v>267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G2" sqref="G2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61</v>
      </c>
      <c r="C1" t="s">
        <v>294</v>
      </c>
      <c r="D1" t="s">
        <v>265</v>
      </c>
      <c r="E1" t="s">
        <v>295</v>
      </c>
      <c r="G1" t="s">
        <v>296</v>
      </c>
      <c r="H1" t="s">
        <v>297</v>
      </c>
      <c r="I1" t="s">
        <v>298</v>
      </c>
      <c r="J1" t="s">
        <v>299</v>
      </c>
    </row>
    <row r="2" spans="1:11" x14ac:dyDescent="0.2">
      <c r="A2" s="117" t="s">
        <v>222</v>
      </c>
      <c r="B2" s="117" t="s">
        <v>290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226</v>
      </c>
      <c r="B3" s="117" t="s">
        <v>290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302</v>
      </c>
    </row>
    <row r="4" spans="1:11" x14ac:dyDescent="0.2">
      <c r="A4" s="117" t="s">
        <v>75</v>
      </c>
      <c r="B4" s="117" t="s">
        <v>290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233</v>
      </c>
      <c r="B5" s="117" t="s">
        <v>290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291</v>
      </c>
      <c r="B6" s="117" t="s">
        <v>290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292</v>
      </c>
      <c r="B7" s="117" t="s">
        <v>290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236</v>
      </c>
      <c r="B8" s="117" t="s">
        <v>290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238</v>
      </c>
      <c r="B9" s="117" t="s">
        <v>290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293</v>
      </c>
      <c r="B10" s="117" t="s">
        <v>290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301</v>
      </c>
    </row>
    <row r="11" spans="1:11" x14ac:dyDescent="0.2">
      <c r="A11" s="117" t="s">
        <v>244</v>
      </c>
      <c r="B11" s="117" t="s">
        <v>290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246</v>
      </c>
      <c r="B12" s="117" t="s">
        <v>290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300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266</v>
      </c>
      <c r="H17" s="2">
        <v>129712.55</v>
      </c>
    </row>
    <row r="20" spans="1:9" x14ac:dyDescent="0.2">
      <c r="E20" s="50" t="s">
        <v>348</v>
      </c>
      <c r="F20" s="50" t="s">
        <v>147</v>
      </c>
      <c r="G20" s="50" t="s">
        <v>349</v>
      </c>
      <c r="H20" s="50" t="s">
        <v>206</v>
      </c>
      <c r="I20" s="50" t="s">
        <v>207</v>
      </c>
    </row>
    <row r="21" spans="1:9" x14ac:dyDescent="0.2">
      <c r="A21" s="116" t="s">
        <v>303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344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323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317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330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332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305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337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340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347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341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345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343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346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306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306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342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342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342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316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315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315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316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160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308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309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310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324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325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326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319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334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335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320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338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339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311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327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328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329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336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318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321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331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312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313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314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307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304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333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322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350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C78" workbookViewId="0">
      <selection activeCell="K82" sqref="K62:K82"/>
    </sheetView>
  </sheetViews>
  <sheetFormatPr defaultRowHeight="12.75" x14ac:dyDescent="0.2"/>
  <cols>
    <col min="1" max="2" width="32.42578125" customWidth="1"/>
    <col min="3" max="3" width="19.5703125" customWidth="1"/>
    <col min="4" max="4" width="25.42578125" customWidth="1"/>
    <col min="5" max="5" width="18.28515625" customWidth="1"/>
    <col min="6" max="6" width="12.7109375" bestFit="1" customWidth="1"/>
    <col min="7" max="7" width="12.28515625" bestFit="1" customWidth="1"/>
    <col min="8" max="8" width="10.7109375" bestFit="1" customWidth="1"/>
    <col min="9" max="9" width="10" bestFit="1" customWidth="1"/>
    <col min="10" max="10" width="11" bestFit="1" customWidth="1"/>
    <col min="12" max="12" width="13.42578125" bestFit="1" customWidth="1"/>
    <col min="13" max="13" width="11.85546875" bestFit="1" customWidth="1"/>
  </cols>
  <sheetData>
    <row r="1" spans="1:2" ht="18" x14ac:dyDescent="0.2">
      <c r="A1" s="129" t="s">
        <v>361</v>
      </c>
      <c r="B1" s="207" t="s">
        <v>363</v>
      </c>
    </row>
    <row r="2" spans="1:2" x14ac:dyDescent="0.2">
      <c r="A2" s="128"/>
      <c r="B2" s="207"/>
    </row>
    <row r="3" spans="1:2" ht="18" x14ac:dyDescent="0.2">
      <c r="A3" s="129" t="s">
        <v>362</v>
      </c>
      <c r="B3" s="207"/>
    </row>
    <row r="4" spans="1:2" ht="15" x14ac:dyDescent="0.2">
      <c r="A4" s="130"/>
      <c r="B4" s="207"/>
    </row>
    <row r="5" spans="1:2" ht="15" customHeight="1" x14ac:dyDescent="0.2">
      <c r="A5" s="206" t="s">
        <v>364</v>
      </c>
      <c r="B5" s="206"/>
    </row>
    <row r="6" spans="1:2" ht="15" x14ac:dyDescent="0.2">
      <c r="A6" s="206"/>
      <c r="B6" s="206"/>
    </row>
    <row r="7" spans="1:2" ht="15" x14ac:dyDescent="0.2">
      <c r="A7" s="130" t="s">
        <v>365</v>
      </c>
      <c r="B7" s="130" t="s">
        <v>221</v>
      </c>
    </row>
    <row r="8" spans="1:2" ht="15" x14ac:dyDescent="0.2">
      <c r="A8" s="130" t="s">
        <v>366</v>
      </c>
      <c r="B8" s="130" t="s">
        <v>367</v>
      </c>
    </row>
    <row r="9" spans="1:2" ht="45" customHeight="1" x14ac:dyDescent="0.2">
      <c r="A9" s="206" t="s">
        <v>368</v>
      </c>
      <c r="B9" s="206"/>
    </row>
    <row r="10" spans="1:2" ht="15" customHeight="1" x14ac:dyDescent="0.2">
      <c r="A10" s="206" t="s">
        <v>369</v>
      </c>
      <c r="B10" s="206"/>
    </row>
    <row r="11" spans="1:2" ht="15" customHeight="1" x14ac:dyDescent="0.2">
      <c r="A11" s="206" t="s">
        <v>370</v>
      </c>
      <c r="B11" s="206"/>
    </row>
    <row r="12" spans="1:2" ht="15" customHeight="1" x14ac:dyDescent="0.2">
      <c r="A12" s="206" t="s">
        <v>364</v>
      </c>
      <c r="B12" s="206"/>
    </row>
    <row r="13" spans="1:2" ht="15" x14ac:dyDescent="0.2">
      <c r="A13" s="206"/>
      <c r="B13" s="206"/>
    </row>
    <row r="14" spans="1:2" ht="15" customHeight="1" x14ac:dyDescent="0.2">
      <c r="A14" s="206" t="s">
        <v>371</v>
      </c>
      <c r="B14" s="206"/>
    </row>
    <row r="15" spans="1:2" ht="15" x14ac:dyDescent="0.2">
      <c r="A15" s="206"/>
      <c r="B15" s="206"/>
    </row>
    <row r="16" spans="1:2" ht="30" customHeight="1" x14ac:dyDescent="0.2">
      <c r="A16" s="206" t="s">
        <v>372</v>
      </c>
      <c r="B16" s="206"/>
    </row>
    <row r="17" spans="1:11" ht="30" customHeight="1" x14ac:dyDescent="0.2">
      <c r="A17" s="206" t="s">
        <v>373</v>
      </c>
      <c r="B17" s="206"/>
    </row>
    <row r="18" spans="1:11" ht="15" x14ac:dyDescent="0.35">
      <c r="A18" s="131"/>
    </row>
    <row r="19" spans="1:11" ht="13.5" thickBot="1" x14ac:dyDescent="0.25">
      <c r="A19" s="209" t="s">
        <v>374</v>
      </c>
      <c r="B19" s="210"/>
      <c r="C19" s="210"/>
      <c r="D19" s="210"/>
      <c r="E19" s="210"/>
      <c r="F19" s="210"/>
      <c r="G19" s="210"/>
    </row>
    <row r="20" spans="1:11" ht="15" x14ac:dyDescent="0.2">
      <c r="A20" s="134" t="s">
        <v>212</v>
      </c>
      <c r="B20" s="135" t="s">
        <v>375</v>
      </c>
      <c r="C20" s="136" t="s">
        <v>376</v>
      </c>
      <c r="D20" s="136" t="s">
        <v>377</v>
      </c>
      <c r="E20" s="136" t="s">
        <v>378</v>
      </c>
      <c r="F20" s="136" t="s">
        <v>379</v>
      </c>
      <c r="G20" s="137" t="s">
        <v>217</v>
      </c>
    </row>
    <row r="21" spans="1:11" ht="15.75" thickBot="1" x14ac:dyDescent="0.25">
      <c r="A21" s="138" t="s">
        <v>218</v>
      </c>
      <c r="B21" s="139"/>
      <c r="C21" s="140">
        <v>348.35</v>
      </c>
      <c r="D21" s="141">
        <v>1040.6500000000001</v>
      </c>
      <c r="E21" s="141">
        <v>129712.55</v>
      </c>
      <c r="F21" s="141">
        <v>145281.04</v>
      </c>
      <c r="G21" s="142" t="s">
        <v>221</v>
      </c>
    </row>
    <row r="23" spans="1:11" ht="13.5" thickBot="1" x14ac:dyDescent="0.25">
      <c r="A23" s="209" t="s">
        <v>380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</row>
    <row r="24" spans="1:11" ht="15" x14ac:dyDescent="0.2">
      <c r="A24" s="134"/>
      <c r="B24" s="135" t="s">
        <v>212</v>
      </c>
      <c r="C24" s="135"/>
      <c r="D24" s="135"/>
      <c r="E24" s="135"/>
      <c r="F24" s="135"/>
      <c r="G24" s="135"/>
      <c r="H24" s="135"/>
      <c r="I24" s="135"/>
      <c r="J24" s="136" t="s">
        <v>30</v>
      </c>
      <c r="K24" s="137" t="s">
        <v>217</v>
      </c>
    </row>
    <row r="25" spans="1:11" ht="15" customHeight="1" x14ac:dyDescent="0.2">
      <c r="A25" s="146"/>
      <c r="B25" s="214" t="s">
        <v>218</v>
      </c>
      <c r="C25" s="214"/>
      <c r="D25" s="214"/>
      <c r="E25" s="214"/>
      <c r="F25" s="214"/>
      <c r="G25" s="214"/>
      <c r="H25" s="214"/>
      <c r="I25" s="214"/>
      <c r="J25" s="143">
        <v>3836.34</v>
      </c>
      <c r="K25" s="147" t="s">
        <v>221</v>
      </c>
    </row>
    <row r="26" spans="1:11" x14ac:dyDescent="0.2">
      <c r="A26" s="85"/>
      <c r="B26" s="79" t="s">
        <v>381</v>
      </c>
      <c r="C26" s="81" t="s">
        <v>382</v>
      </c>
      <c r="D26" s="132"/>
      <c r="E26" s="81" t="s">
        <v>383</v>
      </c>
      <c r="F26" s="132"/>
      <c r="G26" s="81" t="s">
        <v>30</v>
      </c>
      <c r="H26" s="81" t="s">
        <v>217</v>
      </c>
      <c r="I26" s="144"/>
      <c r="J26" s="144"/>
      <c r="K26" s="148"/>
    </row>
    <row r="27" spans="1:11" x14ac:dyDescent="0.2">
      <c r="A27" s="85"/>
      <c r="B27" s="145" t="s">
        <v>384</v>
      </c>
      <c r="C27" s="79">
        <v>-162.84</v>
      </c>
      <c r="D27" s="132"/>
      <c r="E27" s="81">
        <v>0</v>
      </c>
      <c r="F27" s="132"/>
      <c r="G27" s="79">
        <v>-162.84</v>
      </c>
      <c r="H27" s="81" t="s">
        <v>221</v>
      </c>
      <c r="I27" s="144"/>
      <c r="J27" s="144"/>
      <c r="K27" s="148"/>
    </row>
    <row r="28" spans="1:11" x14ac:dyDescent="0.2">
      <c r="A28" s="85"/>
      <c r="B28" s="145" t="s">
        <v>385</v>
      </c>
      <c r="C28" s="81">
        <v>0</v>
      </c>
      <c r="D28" s="132"/>
      <c r="E28" s="80">
        <v>3997.17</v>
      </c>
      <c r="F28" s="132"/>
      <c r="G28" s="80">
        <v>3997.17</v>
      </c>
      <c r="H28" s="81" t="s">
        <v>221</v>
      </c>
      <c r="I28" s="144"/>
      <c r="J28" s="144"/>
      <c r="K28" s="148"/>
    </row>
    <row r="29" spans="1:11" x14ac:dyDescent="0.2">
      <c r="A29" s="85"/>
      <c r="B29" s="145" t="s">
        <v>386</v>
      </c>
      <c r="C29" s="81">
        <v>0</v>
      </c>
      <c r="D29" s="132"/>
      <c r="E29" s="81">
        <v>2.0099999999999998</v>
      </c>
      <c r="F29" s="132"/>
      <c r="G29" s="81">
        <v>2.0099999999999998</v>
      </c>
      <c r="H29" s="81" t="s">
        <v>221</v>
      </c>
      <c r="I29" s="144"/>
      <c r="J29" s="144"/>
      <c r="K29" s="148"/>
    </row>
    <row r="30" spans="1:11" ht="13.5" thickBot="1" x14ac:dyDescent="0.25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3" spans="1:13" ht="13.5" thickBot="1" x14ac:dyDescent="0.25">
      <c r="A33" s="209" t="s">
        <v>387</v>
      </c>
      <c r="B33" s="210"/>
      <c r="C33" s="210"/>
      <c r="D33" s="210"/>
      <c r="E33" s="210"/>
      <c r="F33" s="210"/>
      <c r="G33" s="210"/>
      <c r="H33" s="210"/>
      <c r="I33" s="210"/>
      <c r="J33" s="210"/>
    </row>
    <row r="34" spans="1:13" ht="15" x14ac:dyDescent="0.2">
      <c r="A34" s="155"/>
      <c r="B34" s="156" t="s">
        <v>212</v>
      </c>
      <c r="C34" s="156" t="s">
        <v>218</v>
      </c>
      <c r="D34" s="157"/>
      <c r="E34" s="157"/>
      <c r="F34" s="157"/>
      <c r="G34" s="157"/>
      <c r="H34" s="157" t="s">
        <v>30</v>
      </c>
      <c r="I34" s="158">
        <v>-3144.04</v>
      </c>
      <c r="J34" s="159" t="s">
        <v>221</v>
      </c>
    </row>
    <row r="35" spans="1:13" ht="15" x14ac:dyDescent="0.2">
      <c r="A35" s="160"/>
      <c r="B35" s="133" t="s">
        <v>219</v>
      </c>
      <c r="C35" s="208"/>
      <c r="D35" s="208"/>
      <c r="E35" s="208"/>
      <c r="F35" s="208"/>
      <c r="G35" s="208"/>
      <c r="H35" s="208"/>
      <c r="I35" s="149">
        <v>-3144.04</v>
      </c>
      <c r="J35" s="161" t="s">
        <v>221</v>
      </c>
    </row>
    <row r="36" spans="1:13" ht="25.5" x14ac:dyDescent="0.2">
      <c r="A36" s="162"/>
      <c r="B36" s="150" t="s">
        <v>214</v>
      </c>
      <c r="C36" s="150" t="s">
        <v>381</v>
      </c>
      <c r="D36" s="151" t="s">
        <v>388</v>
      </c>
      <c r="E36" s="151" t="s">
        <v>389</v>
      </c>
      <c r="F36" s="151" t="s">
        <v>390</v>
      </c>
      <c r="G36" s="151" t="s">
        <v>391</v>
      </c>
      <c r="H36" s="151" t="s">
        <v>357</v>
      </c>
      <c r="I36" s="151" t="s">
        <v>392</v>
      </c>
      <c r="J36" s="163" t="s">
        <v>217</v>
      </c>
    </row>
    <row r="37" spans="1:13" ht="25.5" x14ac:dyDescent="0.2">
      <c r="A37" s="87"/>
      <c r="B37" s="82" t="s">
        <v>393</v>
      </c>
      <c r="C37" s="82" t="s">
        <v>394</v>
      </c>
      <c r="D37" s="84">
        <v>0</v>
      </c>
      <c r="E37" s="83">
        <v>2445473</v>
      </c>
      <c r="F37" s="84">
        <v>0</v>
      </c>
      <c r="G37" s="153">
        <v>-2446291</v>
      </c>
      <c r="H37" s="82">
        <v>-818</v>
      </c>
      <c r="I37" s="84">
        <v>0</v>
      </c>
      <c r="J37" s="88" t="s">
        <v>221</v>
      </c>
    </row>
    <row r="38" spans="1:13" x14ac:dyDescent="0.2">
      <c r="A38" s="85"/>
      <c r="B38" s="79" t="s">
        <v>395</v>
      </c>
      <c r="C38" s="79" t="s">
        <v>396</v>
      </c>
      <c r="D38" s="79">
        <v>-8</v>
      </c>
      <c r="E38" s="80">
        <v>1058</v>
      </c>
      <c r="F38" s="81">
        <v>0</v>
      </c>
      <c r="G38" s="81">
        <v>0</v>
      </c>
      <c r="H38" s="80">
        <v>1058</v>
      </c>
      <c r="I38" s="79">
        <v>-8</v>
      </c>
      <c r="J38" s="86" t="s">
        <v>221</v>
      </c>
    </row>
    <row r="39" spans="1:13" x14ac:dyDescent="0.2">
      <c r="A39" s="85"/>
      <c r="B39" s="132"/>
      <c r="C39" s="79" t="s">
        <v>394</v>
      </c>
      <c r="D39" s="154">
        <v>-5000.1099999999997</v>
      </c>
      <c r="E39" s="80">
        <v>1058</v>
      </c>
      <c r="F39" s="81">
        <v>0</v>
      </c>
      <c r="G39" s="81">
        <v>0</v>
      </c>
      <c r="H39" s="80">
        <v>1058</v>
      </c>
      <c r="I39" s="154">
        <v>-5000.1099999999997</v>
      </c>
      <c r="J39" s="86" t="s">
        <v>221</v>
      </c>
    </row>
    <row r="40" spans="1:13" x14ac:dyDescent="0.2">
      <c r="A40" s="85"/>
      <c r="B40" s="132"/>
      <c r="C40" s="79" t="s">
        <v>397</v>
      </c>
      <c r="D40" s="79">
        <v>-25</v>
      </c>
      <c r="E40" s="80">
        <v>1058</v>
      </c>
      <c r="F40" s="81">
        <v>0</v>
      </c>
      <c r="G40" s="81">
        <v>0</v>
      </c>
      <c r="H40" s="80">
        <v>1058</v>
      </c>
      <c r="I40" s="79">
        <v>-25</v>
      </c>
      <c r="J40" s="86" t="s">
        <v>221</v>
      </c>
      <c r="L40" s="50" t="s">
        <v>207</v>
      </c>
      <c r="M40" s="70">
        <f>+M41-I35</f>
        <v>55227.780000000006</v>
      </c>
    </row>
    <row r="41" spans="1:13" x14ac:dyDescent="0.2">
      <c r="A41" s="87"/>
      <c r="B41" s="82" t="s">
        <v>398</v>
      </c>
      <c r="C41" s="82" t="s">
        <v>394</v>
      </c>
      <c r="D41" s="84">
        <v>0</v>
      </c>
      <c r="E41" s="83">
        <v>2446291</v>
      </c>
      <c r="F41" s="84">
        <v>0</v>
      </c>
      <c r="G41" s="153">
        <v>-2445473</v>
      </c>
      <c r="H41" s="84">
        <v>818</v>
      </c>
      <c r="I41" s="84">
        <v>0</v>
      </c>
      <c r="J41" s="88" t="s">
        <v>221</v>
      </c>
      <c r="L41" s="50" t="s">
        <v>409</v>
      </c>
      <c r="M41" s="70">
        <f>+F42+F43+F44+F45+F46+F50+F51</f>
        <v>52083.740000000005</v>
      </c>
    </row>
    <row r="42" spans="1:13" x14ac:dyDescent="0.2">
      <c r="A42" s="85"/>
      <c r="B42" s="79" t="s">
        <v>222</v>
      </c>
      <c r="C42" s="79" t="s">
        <v>396</v>
      </c>
      <c r="D42" s="79">
        <v>-16.61</v>
      </c>
      <c r="E42" s="80">
        <v>11277</v>
      </c>
      <c r="F42" s="79">
        <v>-37.590000000000003</v>
      </c>
      <c r="G42" s="154">
        <v>-22554</v>
      </c>
      <c r="H42" s="154">
        <v>-11277</v>
      </c>
      <c r="I42" s="79">
        <v>-54.2</v>
      </c>
      <c r="J42" s="86" t="s">
        <v>221</v>
      </c>
    </row>
    <row r="43" spans="1:13" x14ac:dyDescent="0.2">
      <c r="A43" s="85"/>
      <c r="B43" s="132"/>
      <c r="C43" s="79" t="s">
        <v>394</v>
      </c>
      <c r="D43" s="154">
        <v>-16612.16</v>
      </c>
      <c r="E43" s="80">
        <v>11277</v>
      </c>
      <c r="F43" s="80">
        <v>37586.239999999998</v>
      </c>
      <c r="G43" s="154">
        <v>-22554</v>
      </c>
      <c r="H43" s="154">
        <v>-11277</v>
      </c>
      <c r="I43" s="80">
        <v>20974.080000000002</v>
      </c>
      <c r="J43" s="86" t="s">
        <v>221</v>
      </c>
    </row>
    <row r="44" spans="1:13" x14ac:dyDescent="0.2">
      <c r="A44" s="85"/>
      <c r="B44" s="132"/>
      <c r="C44" s="79" t="s">
        <v>399</v>
      </c>
      <c r="D44" s="79">
        <v>-1</v>
      </c>
      <c r="E44" s="80">
        <v>11277</v>
      </c>
      <c r="F44" s="79">
        <v>-2</v>
      </c>
      <c r="G44" s="154">
        <v>-22554</v>
      </c>
      <c r="H44" s="154">
        <v>-11277</v>
      </c>
      <c r="I44" s="79">
        <v>-3</v>
      </c>
      <c r="J44" s="86" t="s">
        <v>221</v>
      </c>
    </row>
    <row r="45" spans="1:13" x14ac:dyDescent="0.2">
      <c r="A45" s="87"/>
      <c r="B45" s="82" t="s">
        <v>400</v>
      </c>
      <c r="C45" s="82" t="s">
        <v>396</v>
      </c>
      <c r="D45" s="82">
        <v>-8</v>
      </c>
      <c r="E45" s="83">
        <v>1772</v>
      </c>
      <c r="F45" s="82">
        <v>-8</v>
      </c>
      <c r="G45" s="153">
        <v>-1772</v>
      </c>
      <c r="H45" s="84">
        <v>0</v>
      </c>
      <c r="I45" s="82">
        <v>-16</v>
      </c>
      <c r="J45" s="88" t="s">
        <v>221</v>
      </c>
    </row>
    <row r="46" spans="1:13" x14ac:dyDescent="0.2">
      <c r="A46" s="87"/>
      <c r="B46" s="152"/>
      <c r="C46" s="82" t="s">
        <v>394</v>
      </c>
      <c r="D46" s="153">
        <v>-4979.32</v>
      </c>
      <c r="E46" s="83">
        <v>1772</v>
      </c>
      <c r="F46" s="83">
        <v>5136.1400000000003</v>
      </c>
      <c r="G46" s="153">
        <v>-1772</v>
      </c>
      <c r="H46" s="84">
        <v>0</v>
      </c>
      <c r="I46" s="84">
        <v>156.82</v>
      </c>
      <c r="J46" s="88" t="s">
        <v>221</v>
      </c>
    </row>
    <row r="47" spans="1:13" x14ac:dyDescent="0.2">
      <c r="A47" s="85"/>
      <c r="B47" s="79" t="s">
        <v>233</v>
      </c>
      <c r="C47" s="79" t="s">
        <v>396</v>
      </c>
      <c r="D47" s="79">
        <v>-16.600000000000001</v>
      </c>
      <c r="E47" s="80">
        <v>7120</v>
      </c>
      <c r="F47" s="81">
        <v>0</v>
      </c>
      <c r="G47" s="81">
        <v>0</v>
      </c>
      <c r="H47" s="80">
        <v>7120</v>
      </c>
      <c r="I47" s="79">
        <v>-16.600000000000001</v>
      </c>
      <c r="J47" s="86" t="s">
        <v>221</v>
      </c>
    </row>
    <row r="48" spans="1:13" x14ac:dyDescent="0.2">
      <c r="A48" s="85"/>
      <c r="B48" s="132"/>
      <c r="C48" s="79" t="s">
        <v>394</v>
      </c>
      <c r="D48" s="154">
        <v>-13590.92</v>
      </c>
      <c r="E48" s="80">
        <v>7120</v>
      </c>
      <c r="F48" s="81">
        <v>0</v>
      </c>
      <c r="G48" s="81">
        <v>0</v>
      </c>
      <c r="H48" s="80">
        <v>7120</v>
      </c>
      <c r="I48" s="154">
        <v>-13590.92</v>
      </c>
      <c r="J48" s="86" t="s">
        <v>221</v>
      </c>
    </row>
    <row r="49" spans="1:11" x14ac:dyDescent="0.2">
      <c r="A49" s="85"/>
      <c r="B49" s="132"/>
      <c r="C49" s="79" t="s">
        <v>397</v>
      </c>
      <c r="D49" s="79">
        <v>-67.959999999999994</v>
      </c>
      <c r="E49" s="80">
        <v>7120</v>
      </c>
      <c r="F49" s="81">
        <v>0</v>
      </c>
      <c r="G49" s="81">
        <v>0</v>
      </c>
      <c r="H49" s="80">
        <v>7120</v>
      </c>
      <c r="I49" s="79">
        <v>-67.959999999999994</v>
      </c>
      <c r="J49" s="86" t="s">
        <v>221</v>
      </c>
    </row>
    <row r="50" spans="1:11" x14ac:dyDescent="0.2">
      <c r="A50" s="87"/>
      <c r="B50" s="82" t="s">
        <v>291</v>
      </c>
      <c r="C50" s="82" t="s">
        <v>396</v>
      </c>
      <c r="D50" s="82">
        <v>-8.8000000000000007</v>
      </c>
      <c r="E50" s="83">
        <v>20000</v>
      </c>
      <c r="F50" s="82">
        <v>-9.42</v>
      </c>
      <c r="G50" s="153">
        <v>-20000</v>
      </c>
      <c r="H50" s="84">
        <v>0</v>
      </c>
      <c r="I50" s="82">
        <v>-18.22</v>
      </c>
      <c r="J50" s="88" t="s">
        <v>221</v>
      </c>
    </row>
    <row r="51" spans="1:11" x14ac:dyDescent="0.2">
      <c r="A51" s="87"/>
      <c r="B51" s="152"/>
      <c r="C51" s="82" t="s">
        <v>394</v>
      </c>
      <c r="D51" s="153">
        <v>-8800</v>
      </c>
      <c r="E51" s="83">
        <v>20000</v>
      </c>
      <c r="F51" s="83">
        <v>9418.3700000000008</v>
      </c>
      <c r="G51" s="153">
        <v>-20000</v>
      </c>
      <c r="H51" s="84">
        <v>0</v>
      </c>
      <c r="I51" s="84">
        <v>618.37</v>
      </c>
      <c r="J51" s="88" t="s">
        <v>221</v>
      </c>
    </row>
    <row r="52" spans="1:11" x14ac:dyDescent="0.2">
      <c r="A52" s="87"/>
      <c r="B52" s="152"/>
      <c r="C52" s="82" t="s">
        <v>397</v>
      </c>
      <c r="D52" s="82">
        <v>-44</v>
      </c>
      <c r="E52" s="83">
        <v>20000</v>
      </c>
      <c r="F52" s="84">
        <v>0</v>
      </c>
      <c r="G52" s="84">
        <v>0</v>
      </c>
      <c r="H52" s="83">
        <v>20000</v>
      </c>
      <c r="I52" s="82">
        <v>-44</v>
      </c>
      <c r="J52" s="88" t="s">
        <v>221</v>
      </c>
    </row>
    <row r="53" spans="1:11" x14ac:dyDescent="0.2">
      <c r="A53" s="85"/>
      <c r="B53" s="79" t="s">
        <v>240</v>
      </c>
      <c r="C53" s="79" t="s">
        <v>396</v>
      </c>
      <c r="D53" s="79">
        <v>-8</v>
      </c>
      <c r="E53" s="80">
        <v>2304</v>
      </c>
      <c r="F53" s="81">
        <v>0</v>
      </c>
      <c r="G53" s="81">
        <v>0</v>
      </c>
      <c r="H53" s="80">
        <v>2304</v>
      </c>
      <c r="I53" s="79">
        <v>-8</v>
      </c>
      <c r="J53" s="86" t="s">
        <v>221</v>
      </c>
    </row>
    <row r="54" spans="1:11" x14ac:dyDescent="0.2">
      <c r="A54" s="85"/>
      <c r="B54" s="132"/>
      <c r="C54" s="79" t="s">
        <v>394</v>
      </c>
      <c r="D54" s="154">
        <v>-4999.68</v>
      </c>
      <c r="E54" s="80">
        <v>2304</v>
      </c>
      <c r="F54" s="81">
        <v>0</v>
      </c>
      <c r="G54" s="81">
        <v>0</v>
      </c>
      <c r="H54" s="80">
        <v>2304</v>
      </c>
      <c r="I54" s="154">
        <v>-4999.68</v>
      </c>
      <c r="J54" s="86" t="s">
        <v>221</v>
      </c>
    </row>
    <row r="55" spans="1:11" x14ac:dyDescent="0.2">
      <c r="A55" s="85"/>
      <c r="B55" s="132"/>
      <c r="C55" s="79" t="s">
        <v>397</v>
      </c>
      <c r="D55" s="79">
        <v>-25</v>
      </c>
      <c r="E55" s="80">
        <v>2304</v>
      </c>
      <c r="F55" s="81">
        <v>0</v>
      </c>
      <c r="G55" s="81">
        <v>0</v>
      </c>
      <c r="H55" s="80">
        <v>2304</v>
      </c>
      <c r="I55" s="79">
        <v>-25</v>
      </c>
      <c r="J55" s="86" t="s">
        <v>221</v>
      </c>
    </row>
    <row r="56" spans="1:11" x14ac:dyDescent="0.2">
      <c r="A56" s="87"/>
      <c r="B56" s="82" t="s">
        <v>293</v>
      </c>
      <c r="C56" s="82" t="s">
        <v>396</v>
      </c>
      <c r="D56" s="82">
        <v>-8</v>
      </c>
      <c r="E56" s="84">
        <v>531</v>
      </c>
      <c r="F56" s="84">
        <v>0</v>
      </c>
      <c r="G56" s="84">
        <v>0</v>
      </c>
      <c r="H56" s="84">
        <v>531</v>
      </c>
      <c r="I56" s="82">
        <v>-8</v>
      </c>
      <c r="J56" s="88" t="s">
        <v>221</v>
      </c>
    </row>
    <row r="57" spans="1:11" ht="13.5" thickBot="1" x14ac:dyDescent="0.25">
      <c r="A57" s="89"/>
      <c r="B57" s="164"/>
      <c r="C57" s="90" t="s">
        <v>394</v>
      </c>
      <c r="D57" s="165">
        <v>-1008.62</v>
      </c>
      <c r="E57" s="166">
        <v>531</v>
      </c>
      <c r="F57" s="166">
        <v>0</v>
      </c>
      <c r="G57" s="166">
        <v>0</v>
      </c>
      <c r="H57" s="166">
        <v>531</v>
      </c>
      <c r="I57" s="165">
        <v>-1008.62</v>
      </c>
      <c r="J57" s="167" t="s">
        <v>221</v>
      </c>
    </row>
    <row r="58" spans="1:11" x14ac:dyDescent="0.2">
      <c r="A58" s="87"/>
      <c r="B58" s="98"/>
      <c r="C58" s="99"/>
      <c r="D58" s="172"/>
      <c r="E58" s="173"/>
      <c r="F58" s="173"/>
      <c r="G58" s="173"/>
      <c r="H58" s="173"/>
      <c r="I58" s="172"/>
      <c r="J58" s="173"/>
    </row>
    <row r="59" spans="1:11" x14ac:dyDescent="0.2">
      <c r="A59" s="87"/>
      <c r="B59" s="98"/>
      <c r="C59" s="99"/>
      <c r="D59" s="172"/>
      <c r="E59" s="173"/>
      <c r="F59" s="173"/>
      <c r="G59" s="173"/>
      <c r="H59" s="173"/>
      <c r="I59" s="172"/>
      <c r="J59" s="173"/>
    </row>
    <row r="60" spans="1:11" x14ac:dyDescent="0.2">
      <c r="A60" s="174" t="s">
        <v>408</v>
      </c>
      <c r="B60" s="98"/>
      <c r="C60" s="99"/>
      <c r="D60" s="172"/>
      <c r="E60" s="173"/>
      <c r="F60" s="173"/>
      <c r="G60" s="173"/>
      <c r="H60" s="173"/>
      <c r="I60" s="172"/>
      <c r="J60" s="173"/>
    </row>
    <row r="61" spans="1:11" ht="25.5" x14ac:dyDescent="0.2">
      <c r="A61" s="87"/>
      <c r="B61" s="98"/>
      <c r="C61" s="99"/>
      <c r="D61" s="172"/>
      <c r="E61" s="173"/>
      <c r="F61" s="173"/>
      <c r="G61" s="173"/>
      <c r="H61" s="173"/>
      <c r="I61" s="172"/>
      <c r="J61" s="173" t="s">
        <v>436</v>
      </c>
      <c r="K61" s="50" t="s">
        <v>437</v>
      </c>
    </row>
    <row r="62" spans="1:11" x14ac:dyDescent="0.2">
      <c r="A62" s="87"/>
      <c r="B62" s="82" t="s">
        <v>218</v>
      </c>
      <c r="C62" s="82" t="s">
        <v>219</v>
      </c>
      <c r="D62" s="82" t="s">
        <v>395</v>
      </c>
      <c r="E62" s="82" t="s">
        <v>403</v>
      </c>
      <c r="F62" s="83">
        <v>1058</v>
      </c>
      <c r="G62" s="83">
        <v>5803.13</v>
      </c>
      <c r="H62" s="88" t="s">
        <v>221</v>
      </c>
      <c r="J62">
        <v>6464.38</v>
      </c>
      <c r="K62" s="70">
        <f>+J62-G62</f>
        <v>661.25</v>
      </c>
    </row>
    <row r="63" spans="1:11" x14ac:dyDescent="0.2">
      <c r="A63" s="85"/>
      <c r="B63" s="79" t="s">
        <v>218</v>
      </c>
      <c r="C63" s="79" t="s">
        <v>219</v>
      </c>
      <c r="D63" s="79" t="s">
        <v>398</v>
      </c>
      <c r="E63" s="79" t="s">
        <v>404</v>
      </c>
      <c r="F63" s="81">
        <v>818</v>
      </c>
      <c r="G63" s="81">
        <v>77.709999999999994</v>
      </c>
      <c r="H63" s="86" t="s">
        <v>221</v>
      </c>
    </row>
    <row r="64" spans="1:11" x14ac:dyDescent="0.2">
      <c r="A64" s="87"/>
      <c r="B64" s="82" t="s">
        <v>218</v>
      </c>
      <c r="C64" s="82" t="s">
        <v>219</v>
      </c>
      <c r="D64" s="82" t="s">
        <v>222</v>
      </c>
      <c r="E64" s="82" t="s">
        <v>223</v>
      </c>
      <c r="F64" s="83">
        <v>11277</v>
      </c>
      <c r="G64" s="83">
        <v>20118.169999999998</v>
      </c>
      <c r="H64" s="88" t="s">
        <v>221</v>
      </c>
    </row>
    <row r="65" spans="1:11" x14ac:dyDescent="0.2">
      <c r="A65" s="85"/>
      <c r="B65" s="79" t="s">
        <v>218</v>
      </c>
      <c r="C65" s="79" t="s">
        <v>219</v>
      </c>
      <c r="D65" s="79" t="s">
        <v>222</v>
      </c>
      <c r="E65" s="79" t="s">
        <v>223</v>
      </c>
      <c r="F65" s="80">
        <v>10000</v>
      </c>
      <c r="G65" s="80">
        <v>17840</v>
      </c>
      <c r="H65" s="86" t="s">
        <v>221</v>
      </c>
    </row>
    <row r="66" spans="1:11" x14ac:dyDescent="0.2">
      <c r="A66" s="87"/>
      <c r="B66" s="82" t="s">
        <v>218</v>
      </c>
      <c r="C66" s="82" t="s">
        <v>219</v>
      </c>
      <c r="D66" s="82" t="s">
        <v>222</v>
      </c>
      <c r="E66" s="82" t="s">
        <v>223</v>
      </c>
      <c r="F66" s="83">
        <v>1277</v>
      </c>
      <c r="G66" s="83">
        <v>2278.17</v>
      </c>
      <c r="H66" s="88" t="s">
        <v>221</v>
      </c>
    </row>
    <row r="67" spans="1:11" ht="25.5" x14ac:dyDescent="0.2">
      <c r="A67" s="85"/>
      <c r="B67" s="79" t="s">
        <v>218</v>
      </c>
      <c r="C67" s="79" t="s">
        <v>219</v>
      </c>
      <c r="D67" s="79" t="s">
        <v>226</v>
      </c>
      <c r="E67" s="79" t="s">
        <v>405</v>
      </c>
      <c r="F67" s="80">
        <v>5411</v>
      </c>
      <c r="G67" s="81">
        <v>730.48</v>
      </c>
      <c r="H67" s="86" t="s">
        <v>221</v>
      </c>
    </row>
    <row r="68" spans="1:11" x14ac:dyDescent="0.2">
      <c r="A68" s="87"/>
      <c r="B68" s="82" t="s">
        <v>218</v>
      </c>
      <c r="C68" s="82" t="s">
        <v>219</v>
      </c>
      <c r="D68" s="82" t="s">
        <v>233</v>
      </c>
      <c r="E68" s="82" t="s">
        <v>234</v>
      </c>
      <c r="F68" s="83">
        <v>5464</v>
      </c>
      <c r="G68" s="83">
        <v>10381.6</v>
      </c>
      <c r="H68" s="88" t="s">
        <v>221</v>
      </c>
    </row>
    <row r="69" spans="1:11" x14ac:dyDescent="0.2">
      <c r="A69" s="85"/>
      <c r="B69" s="79" t="s">
        <v>218</v>
      </c>
      <c r="C69" s="79" t="s">
        <v>219</v>
      </c>
      <c r="D69" s="79" t="s">
        <v>233</v>
      </c>
      <c r="E69" s="79" t="s">
        <v>234</v>
      </c>
      <c r="F69" s="80">
        <v>4589</v>
      </c>
      <c r="G69" s="80">
        <v>8719.1</v>
      </c>
      <c r="H69" s="86" t="s">
        <v>221</v>
      </c>
    </row>
    <row r="70" spans="1:11" x14ac:dyDescent="0.2">
      <c r="A70" s="87"/>
      <c r="B70" s="82" t="s">
        <v>218</v>
      </c>
      <c r="C70" s="82" t="s">
        <v>219</v>
      </c>
      <c r="D70" s="82" t="s">
        <v>233</v>
      </c>
      <c r="E70" s="82" t="s">
        <v>234</v>
      </c>
      <c r="F70" s="83">
        <v>2531</v>
      </c>
      <c r="G70" s="83">
        <v>4808.8999999999996</v>
      </c>
      <c r="H70" s="88" t="s">
        <v>221</v>
      </c>
    </row>
    <row r="71" spans="1:11" x14ac:dyDescent="0.2">
      <c r="A71" s="85"/>
      <c r="B71" s="79" t="s">
        <v>218</v>
      </c>
      <c r="C71" s="79" t="s">
        <v>219</v>
      </c>
      <c r="D71" s="79" t="s">
        <v>291</v>
      </c>
      <c r="E71" s="79" t="s">
        <v>406</v>
      </c>
      <c r="F71" s="80">
        <v>20000</v>
      </c>
      <c r="G71" s="80">
        <v>9100</v>
      </c>
      <c r="H71" s="86" t="s">
        <v>221</v>
      </c>
      <c r="J71">
        <v>8950</v>
      </c>
      <c r="K71" s="70">
        <f t="shared" ref="K71:K72" si="0">+J71-G71</f>
        <v>-150</v>
      </c>
    </row>
    <row r="72" spans="1:11" x14ac:dyDescent="0.2">
      <c r="A72" s="87"/>
      <c r="B72" s="82" t="s">
        <v>218</v>
      </c>
      <c r="C72" s="82" t="s">
        <v>219</v>
      </c>
      <c r="D72" s="82" t="s">
        <v>236</v>
      </c>
      <c r="E72" s="82" t="s">
        <v>237</v>
      </c>
      <c r="F72" s="83">
        <v>1887945</v>
      </c>
      <c r="G72" s="83">
        <v>10194.9</v>
      </c>
      <c r="H72" s="88" t="s">
        <v>221</v>
      </c>
      <c r="J72">
        <v>7952.1</v>
      </c>
      <c r="K72" s="70">
        <f t="shared" si="0"/>
        <v>-2242.7999999999993</v>
      </c>
    </row>
    <row r="73" spans="1:11" x14ac:dyDescent="0.2">
      <c r="A73" s="85"/>
      <c r="B73" s="79" t="s">
        <v>218</v>
      </c>
      <c r="C73" s="79" t="s">
        <v>219</v>
      </c>
      <c r="D73" s="79" t="s">
        <v>238</v>
      </c>
      <c r="E73" s="79" t="s">
        <v>239</v>
      </c>
      <c r="F73" s="80">
        <v>2000</v>
      </c>
      <c r="G73" s="80">
        <v>3685</v>
      </c>
      <c r="H73" s="86" t="s">
        <v>221</v>
      </c>
    </row>
    <row r="74" spans="1:11" x14ac:dyDescent="0.2">
      <c r="A74" s="87"/>
      <c r="B74" s="82" t="s">
        <v>218</v>
      </c>
      <c r="C74" s="82" t="s">
        <v>219</v>
      </c>
      <c r="D74" s="82" t="s">
        <v>238</v>
      </c>
      <c r="E74" s="82" t="s">
        <v>239</v>
      </c>
      <c r="F74" s="83">
        <v>2000</v>
      </c>
      <c r="G74" s="83">
        <v>3685</v>
      </c>
      <c r="H74" s="88" t="s">
        <v>221</v>
      </c>
    </row>
    <row r="75" spans="1:11" x14ac:dyDescent="0.2">
      <c r="A75" s="85"/>
      <c r="B75" s="79" t="s">
        <v>218</v>
      </c>
      <c r="C75" s="79" t="s">
        <v>219</v>
      </c>
      <c r="D75" s="79" t="s">
        <v>238</v>
      </c>
      <c r="E75" s="79" t="s">
        <v>239</v>
      </c>
      <c r="F75" s="80">
        <v>2000</v>
      </c>
      <c r="G75" s="80">
        <v>3685</v>
      </c>
      <c r="H75" s="86" t="s">
        <v>221</v>
      </c>
    </row>
    <row r="76" spans="1:11" x14ac:dyDescent="0.2">
      <c r="A76" s="87"/>
      <c r="B76" s="82" t="s">
        <v>218</v>
      </c>
      <c r="C76" s="82" t="s">
        <v>219</v>
      </c>
      <c r="D76" s="82" t="s">
        <v>238</v>
      </c>
      <c r="E76" s="82" t="s">
        <v>239</v>
      </c>
      <c r="F76" s="83">
        <v>9111</v>
      </c>
      <c r="G76" s="83">
        <v>16787.02</v>
      </c>
      <c r="H76" s="88" t="s">
        <v>221</v>
      </c>
    </row>
    <row r="77" spans="1:11" x14ac:dyDescent="0.2">
      <c r="A77" s="85"/>
      <c r="B77" s="79" t="s">
        <v>218</v>
      </c>
      <c r="C77" s="79" t="s">
        <v>219</v>
      </c>
      <c r="D77" s="79" t="s">
        <v>240</v>
      </c>
      <c r="E77" s="79" t="s">
        <v>241</v>
      </c>
      <c r="F77" s="80">
        <v>2304</v>
      </c>
      <c r="G77" s="80">
        <v>4758.91</v>
      </c>
      <c r="H77" s="86" t="s">
        <v>221</v>
      </c>
      <c r="J77">
        <v>5091.84</v>
      </c>
      <c r="K77" s="70">
        <f>+J77-G77</f>
        <v>332.93000000000029</v>
      </c>
    </row>
    <row r="78" spans="1:11" x14ac:dyDescent="0.2">
      <c r="A78" s="87"/>
      <c r="B78" s="82" t="s">
        <v>218</v>
      </c>
      <c r="C78" s="82" t="s">
        <v>219</v>
      </c>
      <c r="D78" s="82" t="s">
        <v>293</v>
      </c>
      <c r="E78" s="82" t="s">
        <v>407</v>
      </c>
      <c r="F78" s="84">
        <v>531</v>
      </c>
      <c r="G78" s="84">
        <v>844.29</v>
      </c>
      <c r="H78" s="88" t="s">
        <v>221</v>
      </c>
    </row>
    <row r="79" spans="1:11" x14ac:dyDescent="0.2">
      <c r="A79" s="85"/>
      <c r="B79" s="79" t="s">
        <v>218</v>
      </c>
      <c r="C79" s="79" t="s">
        <v>219</v>
      </c>
      <c r="D79" s="79" t="s">
        <v>293</v>
      </c>
      <c r="E79" s="79" t="s">
        <v>407</v>
      </c>
      <c r="F79" s="81">
        <v>531</v>
      </c>
      <c r="G79" s="81">
        <v>844.29</v>
      </c>
      <c r="H79" s="86" t="s">
        <v>221</v>
      </c>
    </row>
    <row r="80" spans="1:11" ht="13.5" thickBot="1" x14ac:dyDescent="0.25">
      <c r="A80" s="89"/>
      <c r="B80" s="90" t="s">
        <v>218</v>
      </c>
      <c r="C80" s="90" t="s">
        <v>219</v>
      </c>
      <c r="D80" s="90" t="s">
        <v>246</v>
      </c>
      <c r="E80" s="90" t="s">
        <v>247</v>
      </c>
      <c r="F80" s="91">
        <v>11537280</v>
      </c>
      <c r="G80" s="91">
        <v>2019.02</v>
      </c>
      <c r="H80" s="167" t="s">
        <v>221</v>
      </c>
    </row>
    <row r="82" spans="1:11" ht="13.5" thickBot="1" x14ac:dyDescent="0.25">
      <c r="G82" s="72">
        <f>SUM(G62:G81)</f>
        <v>126360.68999999999</v>
      </c>
      <c r="K82" s="70">
        <f>SUM(K62:K81)</f>
        <v>-1398.619999999999</v>
      </c>
    </row>
    <row r="83" spans="1:11" ht="13.5" thickTop="1" x14ac:dyDescent="0.2"/>
    <row r="84" spans="1:11" x14ac:dyDescent="0.2">
      <c r="A84" s="170"/>
      <c r="B84" s="168" t="s">
        <v>212</v>
      </c>
      <c r="C84" s="168" t="s">
        <v>213</v>
      </c>
      <c r="D84" s="168" t="s">
        <v>214</v>
      </c>
      <c r="E84" s="168" t="s">
        <v>215</v>
      </c>
      <c r="F84" s="169" t="s">
        <v>216</v>
      </c>
      <c r="G84" s="169" t="s">
        <v>401</v>
      </c>
      <c r="H84" s="171" t="s">
        <v>217</v>
      </c>
    </row>
    <row r="85" spans="1:11" ht="25.5" x14ac:dyDescent="0.2">
      <c r="A85" s="85"/>
      <c r="B85" s="79" t="s">
        <v>218</v>
      </c>
      <c r="C85" s="79" t="s">
        <v>219</v>
      </c>
      <c r="D85" s="79" t="s">
        <v>292</v>
      </c>
      <c r="E85" s="79" t="s">
        <v>235</v>
      </c>
      <c r="F85" s="80">
        <v>122508</v>
      </c>
      <c r="G85" s="80">
        <v>4777.8100000000004</v>
      </c>
      <c r="H85" s="86" t="s">
        <v>221</v>
      </c>
    </row>
    <row r="86" spans="1:11" ht="25.5" x14ac:dyDescent="0.2">
      <c r="A86" s="87"/>
      <c r="B86" s="82" t="s">
        <v>218</v>
      </c>
      <c r="C86" s="82" t="s">
        <v>219</v>
      </c>
      <c r="D86" s="82" t="s">
        <v>292</v>
      </c>
      <c r="E86" s="82" t="s">
        <v>235</v>
      </c>
      <c r="F86" s="83">
        <v>122508</v>
      </c>
      <c r="G86" s="83">
        <v>4777.8100000000004</v>
      </c>
      <c r="H86" s="88" t="s">
        <v>221</v>
      </c>
    </row>
    <row r="87" spans="1:11" ht="25.5" x14ac:dyDescent="0.2">
      <c r="A87" s="85"/>
      <c r="B87" s="79" t="s">
        <v>218</v>
      </c>
      <c r="C87" s="79" t="s">
        <v>219</v>
      </c>
      <c r="D87" s="79" t="s">
        <v>292</v>
      </c>
      <c r="E87" s="79" t="s">
        <v>235</v>
      </c>
      <c r="F87" s="80">
        <v>35305</v>
      </c>
      <c r="G87" s="80">
        <v>1376.9</v>
      </c>
      <c r="H87" s="86" t="s">
        <v>221</v>
      </c>
    </row>
    <row r="88" spans="1:11" ht="25.5" x14ac:dyDescent="0.2">
      <c r="A88" s="87"/>
      <c r="B88" s="82" t="s">
        <v>218</v>
      </c>
      <c r="C88" s="82" t="s">
        <v>219</v>
      </c>
      <c r="D88" s="82" t="s">
        <v>292</v>
      </c>
      <c r="E88" s="82" t="s">
        <v>235</v>
      </c>
      <c r="F88" s="83">
        <v>64695</v>
      </c>
      <c r="G88" s="83">
        <v>2523.1</v>
      </c>
      <c r="H88" s="88" t="s">
        <v>221</v>
      </c>
    </row>
    <row r="89" spans="1:11" ht="25.5" x14ac:dyDescent="0.2">
      <c r="A89" s="85"/>
      <c r="B89" s="79" t="s">
        <v>218</v>
      </c>
      <c r="C89" s="79" t="s">
        <v>219</v>
      </c>
      <c r="D89" s="79" t="s">
        <v>292</v>
      </c>
      <c r="E89" s="79" t="s">
        <v>235</v>
      </c>
      <c r="F89" s="80">
        <v>100000</v>
      </c>
      <c r="G89" s="80">
        <v>3900</v>
      </c>
      <c r="H89" s="86" t="s">
        <v>221</v>
      </c>
    </row>
    <row r="90" spans="1:11" ht="25.5" x14ac:dyDescent="0.2">
      <c r="A90" s="87"/>
      <c r="B90" s="82" t="s">
        <v>218</v>
      </c>
      <c r="C90" s="82" t="s">
        <v>219</v>
      </c>
      <c r="D90" s="82" t="s">
        <v>402</v>
      </c>
      <c r="E90" s="82" t="s">
        <v>245</v>
      </c>
      <c r="F90" s="83">
        <v>6000</v>
      </c>
      <c r="G90" s="84">
        <v>94.5</v>
      </c>
      <c r="H90" s="88" t="s">
        <v>221</v>
      </c>
    </row>
    <row r="91" spans="1:11" ht="25.5" x14ac:dyDescent="0.2">
      <c r="A91" s="85"/>
      <c r="B91" s="79" t="s">
        <v>218</v>
      </c>
      <c r="C91" s="79" t="s">
        <v>219</v>
      </c>
      <c r="D91" s="79" t="s">
        <v>402</v>
      </c>
      <c r="E91" s="79" t="s">
        <v>245</v>
      </c>
      <c r="F91" s="80">
        <v>27275</v>
      </c>
      <c r="G91" s="81">
        <v>429.58</v>
      </c>
      <c r="H91" s="86" t="s">
        <v>221</v>
      </c>
    </row>
    <row r="93" spans="1:11" ht="13.5" thickBot="1" x14ac:dyDescent="0.25">
      <c r="G93" s="72">
        <f>SUM(G85:G92)</f>
        <v>17879.700000000004</v>
      </c>
    </row>
    <row r="94" spans="1:11" ht="13.5" thickTop="1" x14ac:dyDescent="0.2"/>
    <row r="97" spans="1:14" ht="15" x14ac:dyDescent="0.25">
      <c r="A97" s="175" t="s">
        <v>212</v>
      </c>
      <c r="B97" s="175" t="s">
        <v>410</v>
      </c>
      <c r="C97" s="175" t="s">
        <v>214</v>
      </c>
      <c r="D97" s="175" t="s">
        <v>411</v>
      </c>
      <c r="E97" s="175" t="s">
        <v>216</v>
      </c>
      <c r="F97" s="175" t="s">
        <v>412</v>
      </c>
      <c r="G97" s="175" t="s">
        <v>413</v>
      </c>
      <c r="H97" s="175" t="s">
        <v>414</v>
      </c>
      <c r="I97" s="175" t="s">
        <v>415</v>
      </c>
      <c r="J97" s="175" t="s">
        <v>416</v>
      </c>
      <c r="K97" s="175" t="s">
        <v>417</v>
      </c>
    </row>
    <row r="98" spans="1:14" x14ac:dyDescent="0.2">
      <c r="A98" s="176" t="s">
        <v>218</v>
      </c>
      <c r="B98" s="176" t="s">
        <v>219</v>
      </c>
      <c r="C98" s="176" t="s">
        <v>393</v>
      </c>
      <c r="D98" s="176" t="s">
        <v>389</v>
      </c>
      <c r="E98" s="176">
        <v>818</v>
      </c>
      <c r="F98" s="176" t="s">
        <v>221</v>
      </c>
      <c r="G98" s="176" t="s">
        <v>418</v>
      </c>
      <c r="H98" s="177">
        <v>42612</v>
      </c>
      <c r="I98" s="176">
        <v>1223.4856500000001</v>
      </c>
      <c r="J98" s="176">
        <v>10008.11</v>
      </c>
      <c r="K98" s="176">
        <v>0</v>
      </c>
    </row>
    <row r="99" spans="1:14" x14ac:dyDescent="0.2">
      <c r="A99" s="176" t="s">
        <v>218</v>
      </c>
      <c r="B99" s="176" t="s">
        <v>219</v>
      </c>
      <c r="C99" s="176" t="s">
        <v>398</v>
      </c>
      <c r="D99" s="176" t="s">
        <v>389</v>
      </c>
      <c r="E99" s="176">
        <v>2445473</v>
      </c>
      <c r="F99" s="176" t="s">
        <v>221</v>
      </c>
      <c r="G99" s="176" t="s">
        <v>418</v>
      </c>
      <c r="H99" s="177">
        <v>42612</v>
      </c>
      <c r="I99" s="176">
        <v>0.40899999999999997</v>
      </c>
      <c r="J99" s="176">
        <v>10000</v>
      </c>
      <c r="K99" s="176">
        <v>0</v>
      </c>
    </row>
    <row r="100" spans="1:14" x14ac:dyDescent="0.2">
      <c r="A100" s="176" t="s">
        <v>218</v>
      </c>
      <c r="B100" s="176" t="s">
        <v>219</v>
      </c>
      <c r="C100" s="176" t="s">
        <v>398</v>
      </c>
      <c r="D100" s="176" t="s">
        <v>389</v>
      </c>
      <c r="E100" s="176">
        <v>818</v>
      </c>
      <c r="F100" s="176" t="s">
        <v>221</v>
      </c>
      <c r="G100" s="176" t="s">
        <v>418</v>
      </c>
      <c r="H100" s="177">
        <v>42612</v>
      </c>
      <c r="I100" s="176">
        <v>1223.4860000000001</v>
      </c>
      <c r="J100" s="176">
        <v>10008.11</v>
      </c>
      <c r="K100" s="176">
        <v>0</v>
      </c>
      <c r="M100" s="50" t="s">
        <v>421</v>
      </c>
      <c r="N100">
        <f>+K119+K104</f>
        <v>140.82000000000062</v>
      </c>
    </row>
    <row r="101" spans="1:14" x14ac:dyDescent="0.2">
      <c r="A101" s="176" t="s">
        <v>218</v>
      </c>
      <c r="B101" s="176" t="s">
        <v>219</v>
      </c>
      <c r="C101" s="176" t="s">
        <v>393</v>
      </c>
      <c r="D101" s="176" t="s">
        <v>389</v>
      </c>
      <c r="E101" s="176">
        <v>2445473</v>
      </c>
      <c r="F101" s="176" t="s">
        <v>221</v>
      </c>
      <c r="G101" s="176" t="s">
        <v>418</v>
      </c>
      <c r="H101" s="177">
        <v>42612</v>
      </c>
      <c r="I101" s="176">
        <v>0.40892000000000001</v>
      </c>
      <c r="J101" s="176">
        <v>10000</v>
      </c>
      <c r="K101" s="176">
        <v>0</v>
      </c>
      <c r="M101" s="50" t="s">
        <v>422</v>
      </c>
      <c r="N101">
        <f>+K120+K102</f>
        <v>556.15000000000146</v>
      </c>
    </row>
    <row r="102" spans="1:14" x14ac:dyDescent="0.2">
      <c r="A102" s="176" t="s">
        <v>218</v>
      </c>
      <c r="B102" s="176" t="s">
        <v>219</v>
      </c>
      <c r="C102" s="179" t="s">
        <v>291</v>
      </c>
      <c r="D102" s="176" t="s">
        <v>389</v>
      </c>
      <c r="E102" s="176">
        <v>20000</v>
      </c>
      <c r="F102" s="176" t="s">
        <v>221</v>
      </c>
      <c r="G102" s="176" t="s">
        <v>418</v>
      </c>
      <c r="H102" s="177">
        <v>42688</v>
      </c>
      <c r="I102" s="176">
        <v>44</v>
      </c>
      <c r="J102" s="176">
        <v>8800</v>
      </c>
      <c r="K102" s="176">
        <v>-8852.7999999999993</v>
      </c>
      <c r="M102" s="50" t="s">
        <v>423</v>
      </c>
      <c r="N102">
        <f>+K117+K118-L117-L118</f>
        <v>25241.636666666665</v>
      </c>
    </row>
    <row r="103" spans="1:14" ht="13.5" thickBot="1" x14ac:dyDescent="0.25">
      <c r="A103" s="176" t="s">
        <v>218</v>
      </c>
      <c r="B103" s="176" t="s">
        <v>219</v>
      </c>
      <c r="C103" s="176" t="s">
        <v>395</v>
      </c>
      <c r="D103" s="176" t="s">
        <v>389</v>
      </c>
      <c r="E103" s="176">
        <v>1058</v>
      </c>
      <c r="F103" s="176" t="s">
        <v>221</v>
      </c>
      <c r="G103" s="176" t="s">
        <v>418</v>
      </c>
      <c r="H103" s="177">
        <v>42688</v>
      </c>
      <c r="I103" s="176">
        <v>472.6</v>
      </c>
      <c r="J103" s="176">
        <v>5000.1099999999997</v>
      </c>
      <c r="K103" s="176">
        <v>-5033.1099999999997</v>
      </c>
      <c r="M103" s="50" t="s">
        <v>425</v>
      </c>
      <c r="N103" s="41">
        <f>SUM(N100:N102)</f>
        <v>25938.606666666667</v>
      </c>
    </row>
    <row r="104" spans="1:14" ht="13.5" thickTop="1" x14ac:dyDescent="0.2">
      <c r="A104" s="176" t="s">
        <v>218</v>
      </c>
      <c r="B104" s="176" t="s">
        <v>219</v>
      </c>
      <c r="C104" s="179" t="s">
        <v>400</v>
      </c>
      <c r="D104" s="176" t="s">
        <v>389</v>
      </c>
      <c r="E104" s="176">
        <v>1772</v>
      </c>
      <c r="F104" s="176" t="s">
        <v>221</v>
      </c>
      <c r="G104" s="176" t="s">
        <v>418</v>
      </c>
      <c r="H104" s="177">
        <v>42688</v>
      </c>
      <c r="I104" s="176">
        <v>281</v>
      </c>
      <c r="J104" s="176">
        <v>4979.32</v>
      </c>
      <c r="K104" s="176">
        <v>-4987.32</v>
      </c>
    </row>
    <row r="105" spans="1:14" x14ac:dyDescent="0.2">
      <c r="A105" s="176" t="s">
        <v>218</v>
      </c>
      <c r="B105" s="176" t="s">
        <v>219</v>
      </c>
      <c r="C105" s="176" t="s">
        <v>240</v>
      </c>
      <c r="D105" s="176" t="s">
        <v>389</v>
      </c>
      <c r="E105" s="176">
        <v>2304</v>
      </c>
      <c r="F105" s="176" t="s">
        <v>221</v>
      </c>
      <c r="G105" s="176" t="s">
        <v>418</v>
      </c>
      <c r="H105" s="177">
        <v>42688</v>
      </c>
      <c r="I105" s="176">
        <v>217</v>
      </c>
      <c r="J105" s="176">
        <v>4999.68</v>
      </c>
      <c r="K105" s="176">
        <v>-5032.68</v>
      </c>
    </row>
    <row r="106" spans="1:14" x14ac:dyDescent="0.2">
      <c r="A106" s="176" t="s">
        <v>218</v>
      </c>
      <c r="B106" s="176" t="s">
        <v>219</v>
      </c>
      <c r="C106" s="176" t="s">
        <v>222</v>
      </c>
      <c r="D106" s="176" t="s">
        <v>389</v>
      </c>
      <c r="E106" s="176">
        <v>11277</v>
      </c>
      <c r="F106" s="176" t="s">
        <v>221</v>
      </c>
      <c r="G106" s="176" t="s">
        <v>418</v>
      </c>
      <c r="H106" s="177">
        <v>42689</v>
      </c>
      <c r="I106" s="176">
        <v>147.31</v>
      </c>
      <c r="J106" s="176">
        <v>16612.16</v>
      </c>
      <c r="K106" s="176">
        <v>-16629.77</v>
      </c>
    </row>
    <row r="107" spans="1:14" x14ac:dyDescent="0.2">
      <c r="A107" s="176" t="s">
        <v>218</v>
      </c>
      <c r="B107" s="176" t="s">
        <v>219</v>
      </c>
      <c r="C107" s="176" t="s">
        <v>293</v>
      </c>
      <c r="D107" s="176" t="s">
        <v>389</v>
      </c>
      <c r="E107" s="176">
        <v>531</v>
      </c>
      <c r="F107" s="176" t="s">
        <v>221</v>
      </c>
      <c r="G107" s="176" t="s">
        <v>418</v>
      </c>
      <c r="H107" s="177">
        <v>42691</v>
      </c>
      <c r="I107" s="176">
        <v>189.946</v>
      </c>
      <c r="J107" s="176">
        <v>1008.62</v>
      </c>
      <c r="K107" s="176">
        <v>-1016.62</v>
      </c>
    </row>
    <row r="108" spans="1:14" x14ac:dyDescent="0.2">
      <c r="A108" s="176" t="s">
        <v>218</v>
      </c>
      <c r="B108" s="176" t="s">
        <v>219</v>
      </c>
      <c r="C108" s="176" t="s">
        <v>233</v>
      </c>
      <c r="D108" s="176" t="s">
        <v>389</v>
      </c>
      <c r="E108" s="176">
        <v>4589</v>
      </c>
      <c r="F108" s="176" t="s">
        <v>221</v>
      </c>
      <c r="G108" s="176" t="s">
        <v>418</v>
      </c>
      <c r="H108" s="177">
        <v>42691</v>
      </c>
      <c r="I108" s="176">
        <v>187.4</v>
      </c>
      <c r="J108" s="176">
        <v>8599.7900000000009</v>
      </c>
      <c r="K108" s="176">
        <v>-8651.39</v>
      </c>
    </row>
    <row r="109" spans="1:14" x14ac:dyDescent="0.2">
      <c r="A109" s="176" t="s">
        <v>218</v>
      </c>
      <c r="B109" s="176" t="s">
        <v>219</v>
      </c>
      <c r="C109" s="176" t="s">
        <v>233</v>
      </c>
      <c r="D109" s="176" t="s">
        <v>389</v>
      </c>
      <c r="E109" s="176">
        <v>2531</v>
      </c>
      <c r="F109" s="176" t="s">
        <v>221</v>
      </c>
      <c r="G109" s="176" t="s">
        <v>418</v>
      </c>
      <c r="H109" s="177">
        <v>42832</v>
      </c>
      <c r="I109" s="176">
        <v>197.2</v>
      </c>
      <c r="J109" s="176">
        <v>4991.13</v>
      </c>
      <c r="K109" s="176">
        <v>-5024.09</v>
      </c>
    </row>
    <row r="110" spans="1:14" x14ac:dyDescent="0.2">
      <c r="A110" s="176"/>
      <c r="B110" s="176"/>
      <c r="C110" s="176"/>
      <c r="D110" s="176"/>
      <c r="E110" s="176"/>
      <c r="F110" s="176"/>
      <c r="G110" s="176"/>
      <c r="H110" s="177"/>
      <c r="I110" s="176"/>
      <c r="J110" s="176"/>
      <c r="K110" s="176"/>
    </row>
    <row r="111" spans="1:14" ht="13.5" thickBot="1" x14ac:dyDescent="0.25">
      <c r="A111" s="176"/>
      <c r="B111" s="176"/>
      <c r="C111" s="176"/>
      <c r="D111" s="176"/>
      <c r="E111" s="176"/>
      <c r="F111" s="176"/>
      <c r="G111" s="176"/>
      <c r="H111" s="177"/>
      <c r="I111" s="176"/>
      <c r="J111" s="176"/>
      <c r="K111" s="178">
        <f>SUM(K98:K110)</f>
        <v>-55227.78</v>
      </c>
      <c r="L111" s="50" t="s">
        <v>419</v>
      </c>
    </row>
    <row r="112" spans="1:14" ht="13.5" thickTop="1" x14ac:dyDescent="0.2">
      <c r="A112" s="176"/>
      <c r="B112" s="176"/>
      <c r="C112" s="176"/>
      <c r="D112" s="176"/>
      <c r="E112" s="176"/>
      <c r="F112" s="176"/>
      <c r="G112" s="176"/>
      <c r="H112" s="177"/>
      <c r="I112" s="176"/>
      <c r="J112" s="176"/>
      <c r="K112" s="176"/>
    </row>
    <row r="113" spans="1:12" x14ac:dyDescent="0.2">
      <c r="A113" s="176" t="s">
        <v>218</v>
      </c>
      <c r="B113" s="176" t="s">
        <v>219</v>
      </c>
      <c r="C113" s="176" t="s">
        <v>393</v>
      </c>
      <c r="D113" s="176" t="s">
        <v>391</v>
      </c>
      <c r="E113" s="176">
        <v>2445473</v>
      </c>
      <c r="F113" s="176" t="s">
        <v>221</v>
      </c>
      <c r="G113" s="176" t="s">
        <v>418</v>
      </c>
      <c r="H113" s="177">
        <v>42612</v>
      </c>
      <c r="I113" s="176">
        <v>0.40892000000000001</v>
      </c>
      <c r="J113" s="176">
        <v>10000</v>
      </c>
      <c r="K113" s="176">
        <v>0</v>
      </c>
    </row>
    <row r="114" spans="1:12" x14ac:dyDescent="0.2">
      <c r="A114" s="176" t="s">
        <v>218</v>
      </c>
      <c r="B114" s="176" t="s">
        <v>219</v>
      </c>
      <c r="C114" s="176" t="s">
        <v>393</v>
      </c>
      <c r="D114" s="176" t="s">
        <v>391</v>
      </c>
      <c r="E114" s="176">
        <v>2445473</v>
      </c>
      <c r="F114" s="176" t="s">
        <v>221</v>
      </c>
      <c r="G114" s="176" t="s">
        <v>418</v>
      </c>
      <c r="H114" s="177">
        <v>42612</v>
      </c>
      <c r="I114" s="176">
        <v>0.40892000000000001</v>
      </c>
      <c r="J114" s="176">
        <v>10000</v>
      </c>
      <c r="K114" s="176">
        <v>0</v>
      </c>
    </row>
    <row r="115" spans="1:12" x14ac:dyDescent="0.2">
      <c r="A115" s="176" t="s">
        <v>218</v>
      </c>
      <c r="B115" s="176" t="s">
        <v>219</v>
      </c>
      <c r="C115" s="176" t="s">
        <v>393</v>
      </c>
      <c r="D115" s="176" t="s">
        <v>391</v>
      </c>
      <c r="E115" s="176">
        <v>818</v>
      </c>
      <c r="F115" s="176" t="s">
        <v>221</v>
      </c>
      <c r="G115" s="176" t="s">
        <v>418</v>
      </c>
      <c r="H115" s="177">
        <v>42612</v>
      </c>
      <c r="I115" s="176">
        <v>1223.4856500000001</v>
      </c>
      <c r="J115" s="176">
        <v>10008.11</v>
      </c>
      <c r="K115" s="176">
        <v>0</v>
      </c>
    </row>
    <row r="116" spans="1:12" x14ac:dyDescent="0.2">
      <c r="A116" s="176" t="s">
        <v>218</v>
      </c>
      <c r="B116" s="176" t="s">
        <v>219</v>
      </c>
      <c r="C116" s="176" t="s">
        <v>398</v>
      </c>
      <c r="D116" s="176" t="s">
        <v>391</v>
      </c>
      <c r="E116" s="176">
        <v>2445473</v>
      </c>
      <c r="F116" s="176" t="s">
        <v>221</v>
      </c>
      <c r="G116" s="176" t="s">
        <v>418</v>
      </c>
      <c r="H116" s="177">
        <v>42612</v>
      </c>
      <c r="I116" s="176">
        <v>0.40899999999999997</v>
      </c>
      <c r="J116" s="176">
        <v>10000</v>
      </c>
      <c r="K116" s="176">
        <v>0</v>
      </c>
      <c r="L116" s="50" t="s">
        <v>424</v>
      </c>
    </row>
    <row r="117" spans="1:12" x14ac:dyDescent="0.2">
      <c r="A117" s="176" t="s">
        <v>218</v>
      </c>
      <c r="B117" s="176" t="s">
        <v>219</v>
      </c>
      <c r="C117" s="176" t="s">
        <v>222</v>
      </c>
      <c r="D117" s="176" t="s">
        <v>391</v>
      </c>
      <c r="E117" s="176">
        <v>11277</v>
      </c>
      <c r="F117" s="176" t="s">
        <v>221</v>
      </c>
      <c r="G117" s="176" t="s">
        <v>418</v>
      </c>
      <c r="H117" s="177">
        <v>42685</v>
      </c>
      <c r="I117" s="176">
        <v>165.3</v>
      </c>
      <c r="J117" s="176">
        <v>18640.88</v>
      </c>
      <c r="K117" s="176">
        <v>18621.240000000002</v>
      </c>
      <c r="L117">
        <f>+(18457.52/33831)*E117</f>
        <v>6152.5066666666671</v>
      </c>
    </row>
    <row r="118" spans="1:12" x14ac:dyDescent="0.2">
      <c r="A118" s="176" t="s">
        <v>218</v>
      </c>
      <c r="B118" s="176" t="s">
        <v>219</v>
      </c>
      <c r="C118" s="176" t="s">
        <v>222</v>
      </c>
      <c r="D118" s="176" t="s">
        <v>391</v>
      </c>
      <c r="E118" s="176">
        <v>11277</v>
      </c>
      <c r="F118" s="176" t="s">
        <v>221</v>
      </c>
      <c r="G118" s="176" t="s">
        <v>418</v>
      </c>
      <c r="H118" s="177">
        <v>42685</v>
      </c>
      <c r="I118" s="176">
        <v>168</v>
      </c>
      <c r="J118" s="176">
        <v>18945.36</v>
      </c>
      <c r="K118" s="176">
        <v>18925.41</v>
      </c>
      <c r="L118">
        <f>+(18457.52/33831)*E118</f>
        <v>6152.5066666666671</v>
      </c>
    </row>
    <row r="119" spans="1:12" x14ac:dyDescent="0.2">
      <c r="A119" s="176" t="s">
        <v>218</v>
      </c>
      <c r="B119" s="176" t="s">
        <v>219</v>
      </c>
      <c r="C119" s="179" t="s">
        <v>400</v>
      </c>
      <c r="D119" s="176" t="s">
        <v>391</v>
      </c>
      <c r="E119" s="176">
        <v>1772</v>
      </c>
      <c r="F119" s="176" t="s">
        <v>221</v>
      </c>
      <c r="G119" s="176" t="s">
        <v>418</v>
      </c>
      <c r="H119" s="177">
        <v>42688</v>
      </c>
      <c r="I119" s="176">
        <v>289.85000000000002</v>
      </c>
      <c r="J119" s="176">
        <v>5136.1400000000003</v>
      </c>
      <c r="K119" s="176">
        <v>5128.1400000000003</v>
      </c>
    </row>
    <row r="120" spans="1:12" x14ac:dyDescent="0.2">
      <c r="A120" s="176" t="s">
        <v>218</v>
      </c>
      <c r="B120" s="176" t="s">
        <v>219</v>
      </c>
      <c r="C120" s="179" t="s">
        <v>291</v>
      </c>
      <c r="D120" s="176" t="s">
        <v>391</v>
      </c>
      <c r="E120" s="176">
        <v>20000</v>
      </c>
      <c r="F120" s="176" t="s">
        <v>221</v>
      </c>
      <c r="G120" s="176" t="s">
        <v>418</v>
      </c>
      <c r="H120" s="177">
        <v>42691</v>
      </c>
      <c r="I120" s="176">
        <v>47.091999999999999</v>
      </c>
      <c r="J120" s="176">
        <v>9418.3700000000008</v>
      </c>
      <c r="K120" s="176">
        <v>9408.9500000000007</v>
      </c>
    </row>
    <row r="122" spans="1:12" ht="13.5" thickBot="1" x14ac:dyDescent="0.25">
      <c r="K122" s="57">
        <f>SUM(K113:K121)</f>
        <v>52083.740000000005</v>
      </c>
      <c r="L122" s="50" t="s">
        <v>420</v>
      </c>
    </row>
    <row r="123" spans="1:12" ht="13.5" thickTop="1" x14ac:dyDescent="0.2"/>
  </sheetData>
  <sortState ref="A98:L117">
    <sortCondition ref="D98:D117"/>
  </sortState>
  <mergeCells count="18">
    <mergeCell ref="C35:H35"/>
    <mergeCell ref="A12:B12"/>
    <mergeCell ref="A13:B13"/>
    <mergeCell ref="A14:B14"/>
    <mergeCell ref="A15:B15"/>
    <mergeCell ref="A16:B16"/>
    <mergeCell ref="A17:B17"/>
    <mergeCell ref="A19:G19"/>
    <mergeCell ref="A30:K30"/>
    <mergeCell ref="A23:K23"/>
    <mergeCell ref="B25:I25"/>
    <mergeCell ref="A33:J33"/>
    <mergeCell ref="A11:B11"/>
    <mergeCell ref="B1:B4"/>
    <mergeCell ref="A5:B5"/>
    <mergeCell ref="A6:B6"/>
    <mergeCell ref="A9:B9"/>
    <mergeCell ref="A10:B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2" sqref="G2:G20"/>
    </sheetView>
  </sheetViews>
  <sheetFormatPr defaultRowHeight="12.75" x14ac:dyDescent="0.2"/>
  <cols>
    <col min="2" max="2" width="14.140625" customWidth="1"/>
    <col min="3" max="3" width="13" customWidth="1"/>
    <col min="4" max="4" width="46" customWidth="1"/>
    <col min="5" max="5" width="18.5703125" customWidth="1"/>
    <col min="7" max="7" width="11.28515625" bestFit="1" customWidth="1"/>
  </cols>
  <sheetData>
    <row r="1" spans="1:8" x14ac:dyDescent="0.2">
      <c r="A1" s="182" t="s">
        <v>212</v>
      </c>
      <c r="B1" s="183" t="s">
        <v>213</v>
      </c>
      <c r="C1" s="183" t="s">
        <v>214</v>
      </c>
      <c r="D1" s="183" t="s">
        <v>215</v>
      </c>
      <c r="E1" s="184" t="s">
        <v>216</v>
      </c>
      <c r="F1" s="184" t="s">
        <v>401</v>
      </c>
      <c r="G1" s="184" t="s">
        <v>217</v>
      </c>
      <c r="H1" s="185"/>
    </row>
    <row r="2" spans="1:8" x14ac:dyDescent="0.2">
      <c r="A2" s="85"/>
      <c r="B2" s="79" t="s">
        <v>218</v>
      </c>
      <c r="C2" s="79" t="s">
        <v>219</v>
      </c>
      <c r="D2" s="79" t="s">
        <v>432</v>
      </c>
      <c r="E2" s="79" t="s">
        <v>404</v>
      </c>
      <c r="F2" s="81">
        <v>818</v>
      </c>
      <c r="G2" s="189">
        <v>6.34</v>
      </c>
      <c r="H2" s="86" t="s">
        <v>221</v>
      </c>
    </row>
    <row r="3" spans="1:8" x14ac:dyDescent="0.2">
      <c r="A3" s="87"/>
      <c r="B3" s="82" t="s">
        <v>218</v>
      </c>
      <c r="C3" s="82" t="s">
        <v>219</v>
      </c>
      <c r="D3" s="82" t="s">
        <v>222</v>
      </c>
      <c r="E3" s="82" t="s">
        <v>223</v>
      </c>
      <c r="F3" s="83">
        <v>1277</v>
      </c>
      <c r="G3" s="190">
        <v>1951.89</v>
      </c>
      <c r="H3" s="88" t="s">
        <v>221</v>
      </c>
    </row>
    <row r="4" spans="1:8" x14ac:dyDescent="0.2">
      <c r="A4" s="85"/>
      <c r="B4" s="79" t="s">
        <v>218</v>
      </c>
      <c r="C4" s="79" t="s">
        <v>219</v>
      </c>
      <c r="D4" s="79" t="s">
        <v>222</v>
      </c>
      <c r="E4" s="79" t="s">
        <v>223</v>
      </c>
      <c r="F4" s="80">
        <v>10000</v>
      </c>
      <c r="G4" s="189">
        <v>15285</v>
      </c>
      <c r="H4" s="86" t="s">
        <v>221</v>
      </c>
    </row>
    <row r="5" spans="1:8" x14ac:dyDescent="0.2">
      <c r="A5" s="87"/>
      <c r="B5" s="82" t="s">
        <v>218</v>
      </c>
      <c r="C5" s="82" t="s">
        <v>219</v>
      </c>
      <c r="D5" s="82" t="s">
        <v>222</v>
      </c>
      <c r="E5" s="82" t="s">
        <v>223</v>
      </c>
      <c r="F5" s="83">
        <v>11277</v>
      </c>
      <c r="G5" s="190">
        <v>17236.89</v>
      </c>
      <c r="H5" s="88" t="s">
        <v>221</v>
      </c>
    </row>
    <row r="6" spans="1:8" x14ac:dyDescent="0.2">
      <c r="A6" s="85"/>
      <c r="B6" s="79" t="s">
        <v>218</v>
      </c>
      <c r="C6" s="79" t="s">
        <v>219</v>
      </c>
      <c r="D6" s="79" t="s">
        <v>222</v>
      </c>
      <c r="E6" s="79" t="s">
        <v>223</v>
      </c>
      <c r="F6" s="80">
        <v>15000</v>
      </c>
      <c r="G6" s="189">
        <v>22927.5</v>
      </c>
      <c r="H6" s="86" t="s">
        <v>221</v>
      </c>
    </row>
    <row r="7" spans="1:8" x14ac:dyDescent="0.2">
      <c r="A7" s="87"/>
      <c r="B7" s="82" t="s">
        <v>218</v>
      </c>
      <c r="C7" s="82" t="s">
        <v>219</v>
      </c>
      <c r="D7" s="82" t="s">
        <v>226</v>
      </c>
      <c r="E7" s="82" t="s">
        <v>405</v>
      </c>
      <c r="F7" s="83">
        <v>5411</v>
      </c>
      <c r="G7" s="190">
        <v>1028.0899999999999</v>
      </c>
      <c r="H7" s="88" t="s">
        <v>221</v>
      </c>
    </row>
    <row r="8" spans="1:8" x14ac:dyDescent="0.2">
      <c r="A8" s="85"/>
      <c r="B8" s="79" t="s">
        <v>218</v>
      </c>
      <c r="C8" s="79" t="s">
        <v>219</v>
      </c>
      <c r="D8" s="79" t="s">
        <v>433</v>
      </c>
      <c r="E8" s="79" t="s">
        <v>434</v>
      </c>
      <c r="F8" s="81">
        <v>500</v>
      </c>
      <c r="G8" s="189">
        <v>5470</v>
      </c>
      <c r="H8" s="86" t="s">
        <v>221</v>
      </c>
    </row>
    <row r="9" spans="1:8" x14ac:dyDescent="0.2">
      <c r="A9" s="87"/>
      <c r="B9" s="82" t="s">
        <v>218</v>
      </c>
      <c r="C9" s="82" t="s">
        <v>219</v>
      </c>
      <c r="D9" s="82" t="s">
        <v>233</v>
      </c>
      <c r="E9" s="82" t="s">
        <v>234</v>
      </c>
      <c r="F9" s="83">
        <v>5464</v>
      </c>
      <c r="G9" s="190">
        <v>12851.33</v>
      </c>
      <c r="H9" s="88" t="s">
        <v>221</v>
      </c>
    </row>
    <row r="10" spans="1:8" x14ac:dyDescent="0.2">
      <c r="A10" s="85"/>
      <c r="B10" s="79" t="s">
        <v>218</v>
      </c>
      <c r="C10" s="79" t="s">
        <v>219</v>
      </c>
      <c r="D10" s="79" t="s">
        <v>233</v>
      </c>
      <c r="E10" s="79" t="s">
        <v>234</v>
      </c>
      <c r="F10" s="80">
        <v>4589</v>
      </c>
      <c r="G10" s="189">
        <v>10793.33</v>
      </c>
      <c r="H10" s="86" t="s">
        <v>221</v>
      </c>
    </row>
    <row r="11" spans="1:8" x14ac:dyDescent="0.2">
      <c r="A11" s="87"/>
      <c r="B11" s="82" t="s">
        <v>218</v>
      </c>
      <c r="C11" s="82" t="s">
        <v>219</v>
      </c>
      <c r="D11" s="82" t="s">
        <v>233</v>
      </c>
      <c r="E11" s="82" t="s">
        <v>234</v>
      </c>
      <c r="F11" s="83">
        <v>2531</v>
      </c>
      <c r="G11" s="190">
        <v>5952.91</v>
      </c>
      <c r="H11" s="88" t="s">
        <v>221</v>
      </c>
    </row>
    <row r="12" spans="1:8" x14ac:dyDescent="0.2">
      <c r="A12" s="85"/>
      <c r="B12" s="79" t="s">
        <v>218</v>
      </c>
      <c r="C12" s="79" t="s">
        <v>219</v>
      </c>
      <c r="D12" s="79" t="s">
        <v>238</v>
      </c>
      <c r="E12" s="79" t="s">
        <v>239</v>
      </c>
      <c r="F12" s="80">
        <v>9111</v>
      </c>
      <c r="G12" s="189">
        <v>18486.22</v>
      </c>
      <c r="H12" s="86" t="s">
        <v>221</v>
      </c>
    </row>
    <row r="13" spans="1:8" x14ac:dyDescent="0.2">
      <c r="A13" s="87"/>
      <c r="B13" s="82" t="s">
        <v>218</v>
      </c>
      <c r="C13" s="82" t="s">
        <v>219</v>
      </c>
      <c r="D13" s="82" t="s">
        <v>238</v>
      </c>
      <c r="E13" s="82" t="s">
        <v>239</v>
      </c>
      <c r="F13" s="83">
        <v>2000</v>
      </c>
      <c r="G13" s="190">
        <v>4058</v>
      </c>
      <c r="H13" s="88" t="s">
        <v>221</v>
      </c>
    </row>
    <row r="14" spans="1:8" x14ac:dyDescent="0.2">
      <c r="A14" s="85"/>
      <c r="B14" s="79" t="s">
        <v>218</v>
      </c>
      <c r="C14" s="79" t="s">
        <v>219</v>
      </c>
      <c r="D14" s="79" t="s">
        <v>238</v>
      </c>
      <c r="E14" s="79" t="s">
        <v>239</v>
      </c>
      <c r="F14" s="80">
        <v>2000</v>
      </c>
      <c r="G14" s="189">
        <v>4058</v>
      </c>
      <c r="H14" s="86" t="s">
        <v>221</v>
      </c>
    </row>
    <row r="15" spans="1:8" x14ac:dyDescent="0.2">
      <c r="A15" s="87"/>
      <c r="B15" s="82" t="s">
        <v>218</v>
      </c>
      <c r="C15" s="82" t="s">
        <v>219</v>
      </c>
      <c r="D15" s="82" t="s">
        <v>238</v>
      </c>
      <c r="E15" s="82" t="s">
        <v>239</v>
      </c>
      <c r="F15" s="83">
        <v>2000</v>
      </c>
      <c r="G15" s="190">
        <v>4058</v>
      </c>
      <c r="H15" s="88" t="s">
        <v>221</v>
      </c>
    </row>
    <row r="16" spans="1:8" x14ac:dyDescent="0.2">
      <c r="A16" s="85"/>
      <c r="B16" s="79" t="s">
        <v>218</v>
      </c>
      <c r="C16" s="79" t="s">
        <v>219</v>
      </c>
      <c r="D16" s="79" t="s">
        <v>293</v>
      </c>
      <c r="E16" s="79" t="s">
        <v>407</v>
      </c>
      <c r="F16" s="81">
        <v>531</v>
      </c>
      <c r="G16" s="189">
        <v>545.6</v>
      </c>
      <c r="H16" s="86" t="s">
        <v>221</v>
      </c>
    </row>
    <row r="17" spans="1:8" x14ac:dyDescent="0.2">
      <c r="A17" s="87"/>
      <c r="B17" s="82" t="s">
        <v>218</v>
      </c>
      <c r="C17" s="82" t="s">
        <v>219</v>
      </c>
      <c r="D17" s="82" t="s">
        <v>293</v>
      </c>
      <c r="E17" s="82" t="s">
        <v>407</v>
      </c>
      <c r="F17" s="84">
        <v>531</v>
      </c>
      <c r="G17" s="190">
        <v>545.6</v>
      </c>
      <c r="H17" s="88" t="s">
        <v>221</v>
      </c>
    </row>
    <row r="18" spans="1:8" ht="13.5" thickBot="1" x14ac:dyDescent="0.25">
      <c r="A18" s="181"/>
      <c r="B18" s="186" t="s">
        <v>218</v>
      </c>
      <c r="C18" s="186" t="s">
        <v>219</v>
      </c>
      <c r="D18" s="186" t="s">
        <v>246</v>
      </c>
      <c r="E18" s="186" t="s">
        <v>435</v>
      </c>
      <c r="F18" s="187">
        <v>57686</v>
      </c>
      <c r="G18" s="191">
        <v>1384.46</v>
      </c>
      <c r="H18" s="188" t="s">
        <v>221</v>
      </c>
    </row>
    <row r="19" spans="1:8" x14ac:dyDescent="0.2">
      <c r="G19" s="2"/>
    </row>
    <row r="20" spans="1:8" x14ac:dyDescent="0.2">
      <c r="G20" s="2">
        <f>SUM(G2:G19)</f>
        <v>126639.16000000002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B4" workbookViewId="0">
      <selection activeCell="O17" sqref="O17"/>
    </sheetView>
  </sheetViews>
  <sheetFormatPr defaultRowHeight="12.75" x14ac:dyDescent="0.2"/>
  <cols>
    <col min="3" max="4" width="10.28515625" bestFit="1" customWidth="1"/>
    <col min="5" max="5" width="11.5703125" bestFit="1" customWidth="1"/>
    <col min="6" max="6" width="12.5703125" bestFit="1" customWidth="1"/>
    <col min="7" max="7" width="14.5703125" bestFit="1" customWidth="1"/>
    <col min="8" max="8" width="10.28515625" bestFit="1" customWidth="1"/>
    <col min="9" max="9" width="17.5703125" bestFit="1" customWidth="1"/>
    <col min="10" max="10" width="10.28515625" bestFit="1" customWidth="1"/>
    <col min="12" max="12" width="10.28515625" bestFit="1" customWidth="1"/>
    <col min="14" max="14" width="19.7109375" bestFit="1" customWidth="1"/>
    <col min="15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447</v>
      </c>
    </row>
    <row r="4" spans="1:18" x14ac:dyDescent="0.2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195" t="s">
        <v>451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N5" s="65" t="s">
        <v>126</v>
      </c>
      <c r="O5" s="199">
        <f>+'Pension Funds'!N57</f>
        <v>975</v>
      </c>
      <c r="P5" s="63"/>
      <c r="Q5" s="199">
        <f>+'Pension Funds'!N50</f>
        <v>12949.36</v>
      </c>
      <c r="R5" s="63"/>
    </row>
    <row r="6" spans="1:18" x14ac:dyDescent="0.2">
      <c r="A6" s="196" t="s">
        <v>3</v>
      </c>
      <c r="B6" s="194"/>
      <c r="C6" s="59" t="s">
        <v>102</v>
      </c>
      <c r="D6" s="59" t="s">
        <v>103</v>
      </c>
      <c r="E6" s="59" t="s">
        <v>34</v>
      </c>
      <c r="F6" s="59" t="s">
        <v>429</v>
      </c>
      <c r="G6" s="59" t="s">
        <v>105</v>
      </c>
      <c r="H6" s="197" t="s">
        <v>353</v>
      </c>
      <c r="I6" s="59" t="s">
        <v>455</v>
      </c>
      <c r="J6" s="59" t="s">
        <v>440</v>
      </c>
      <c r="K6" s="59"/>
      <c r="L6" s="59"/>
      <c r="N6" s="65" t="s">
        <v>127</v>
      </c>
      <c r="O6" s="60"/>
      <c r="P6" s="60"/>
      <c r="Q6" s="60"/>
      <c r="R6" s="60">
        <f>SUM(O6:Q6)</f>
        <v>0</v>
      </c>
    </row>
    <row r="7" spans="1:18" x14ac:dyDescent="0.2">
      <c r="A7" s="194"/>
      <c r="B7" s="194" t="s">
        <v>107</v>
      </c>
      <c r="C7" s="59"/>
      <c r="D7" s="59"/>
      <c r="E7" s="59"/>
      <c r="F7" s="59"/>
      <c r="G7" s="59"/>
      <c r="H7" s="59"/>
      <c r="I7" s="59"/>
      <c r="J7" s="59"/>
      <c r="K7" s="59"/>
      <c r="L7" s="59"/>
      <c r="N7" s="65" t="s">
        <v>128</v>
      </c>
      <c r="O7" s="60">
        <f>+L19-J19</f>
        <v>45806.92</v>
      </c>
      <c r="P7" s="60"/>
      <c r="Q7" s="60">
        <f>+J19</f>
        <v>16.060000000000002</v>
      </c>
      <c r="R7" s="60">
        <f>SUM(O7:Q7)</f>
        <v>45822.979999999996</v>
      </c>
    </row>
    <row r="8" spans="1:18" x14ac:dyDescent="0.2">
      <c r="A8" s="194"/>
      <c r="B8" s="194" t="s">
        <v>108</v>
      </c>
      <c r="C8" s="59"/>
      <c r="D8" s="59"/>
      <c r="E8" s="59"/>
      <c r="F8" s="59"/>
      <c r="G8" s="59"/>
      <c r="H8" s="59"/>
      <c r="I8" s="59"/>
      <c r="J8" s="59"/>
      <c r="K8" s="59"/>
      <c r="L8" s="59"/>
      <c r="N8" s="65" t="s">
        <v>135</v>
      </c>
      <c r="O8" s="60">
        <v>12965.42</v>
      </c>
      <c r="P8" s="60"/>
      <c r="Q8" s="60">
        <v>-12965.42</v>
      </c>
      <c r="R8" s="60">
        <f>SUM(O8:Q8)</f>
        <v>0</v>
      </c>
    </row>
    <row r="9" spans="1:18" x14ac:dyDescent="0.2">
      <c r="A9" s="194"/>
      <c r="B9" s="194" t="s">
        <v>109</v>
      </c>
      <c r="C9" s="59"/>
      <c r="D9" s="59"/>
      <c r="E9" s="59"/>
      <c r="F9" s="59"/>
      <c r="G9" s="59"/>
      <c r="H9" s="59"/>
      <c r="I9" s="59"/>
      <c r="J9" s="59"/>
      <c r="K9" s="59"/>
      <c r="L9" s="59"/>
      <c r="N9" s="65" t="s">
        <v>445</v>
      </c>
      <c r="O9" s="60">
        <f>-O17-O16</f>
        <v>3694.5</v>
      </c>
      <c r="P9" s="60"/>
      <c r="Q9" s="60"/>
      <c r="R9" s="60"/>
    </row>
    <row r="10" spans="1:18" x14ac:dyDescent="0.2">
      <c r="A10" s="194"/>
      <c r="B10" s="194" t="s">
        <v>110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N10" s="65" t="s">
        <v>129</v>
      </c>
      <c r="O10" s="60">
        <f>-L34</f>
        <v>-42682.9</v>
      </c>
      <c r="P10" s="60"/>
      <c r="Q10" s="60">
        <f>-P10</f>
        <v>0</v>
      </c>
      <c r="R10" s="60">
        <f>SUM(O10:Q10)</f>
        <v>-42682.9</v>
      </c>
    </row>
    <row r="11" spans="1:18" x14ac:dyDescent="0.2">
      <c r="A11" s="194"/>
      <c r="B11" s="194" t="s">
        <v>111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N11" s="65" t="s">
        <v>130</v>
      </c>
      <c r="O11" s="60">
        <f>SUM(O5:O10)</f>
        <v>20758.939999999995</v>
      </c>
      <c r="P11" s="60"/>
      <c r="Q11" s="60">
        <f>SUM(Q5:Q10)</f>
        <v>0</v>
      </c>
      <c r="R11" s="60">
        <f>SUM(R6:R10)</f>
        <v>3140.0799999999945</v>
      </c>
    </row>
    <row r="12" spans="1:18" x14ac:dyDescent="0.2">
      <c r="A12" s="194"/>
      <c r="B12" s="194" t="s">
        <v>112</v>
      </c>
      <c r="C12" s="59">
        <v>5000</v>
      </c>
      <c r="D12" s="59">
        <f>+(2*12500)*0.8</f>
        <v>20000</v>
      </c>
      <c r="E12" s="59">
        <v>2812.5</v>
      </c>
      <c r="F12" s="59"/>
      <c r="G12" s="59"/>
      <c r="H12" s="59"/>
      <c r="I12" s="59"/>
      <c r="J12" s="59">
        <v>9.73</v>
      </c>
      <c r="K12" s="59"/>
      <c r="L12" s="59"/>
      <c r="N12" s="65" t="s">
        <v>133</v>
      </c>
      <c r="O12" s="60">
        <f>975-E34-F34</f>
        <v>-171.9</v>
      </c>
      <c r="P12" s="60"/>
      <c r="Q12" s="60">
        <v>0</v>
      </c>
      <c r="R12" s="60">
        <f>SUM(O12:Q12)</f>
        <v>-171.9</v>
      </c>
    </row>
    <row r="13" spans="1:18" x14ac:dyDescent="0.2">
      <c r="A13" s="194"/>
      <c r="B13" s="194" t="s">
        <v>113</v>
      </c>
      <c r="C13" s="59"/>
      <c r="D13" s="59"/>
      <c r="E13" s="59"/>
      <c r="F13" s="59"/>
      <c r="G13" s="59">
        <f>+(2*12500)-D12</f>
        <v>5000</v>
      </c>
      <c r="H13" s="59"/>
      <c r="I13" s="59"/>
      <c r="J13" s="59"/>
      <c r="K13" s="59"/>
      <c r="L13" s="59"/>
      <c r="N13" s="63"/>
      <c r="O13" s="63"/>
      <c r="P13" s="63"/>
      <c r="Q13" s="63"/>
      <c r="R13" s="63"/>
    </row>
    <row r="14" spans="1:18" x14ac:dyDescent="0.2">
      <c r="A14" s="194"/>
      <c r="B14" s="194" t="s">
        <v>114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N14" s="65" t="s">
        <v>136</v>
      </c>
      <c r="O14" s="60">
        <f>+O12-O11</f>
        <v>-20930.839999999997</v>
      </c>
      <c r="P14" s="63"/>
      <c r="Q14" s="63">
        <f>+Q12-Q11</f>
        <v>0</v>
      </c>
      <c r="R14" s="63"/>
    </row>
    <row r="15" spans="1:18" x14ac:dyDescent="0.2">
      <c r="A15" s="194"/>
      <c r="B15" s="194" t="s">
        <v>115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8" x14ac:dyDescent="0.2">
      <c r="A16" s="194"/>
      <c r="B16" s="194" t="s">
        <v>116</v>
      </c>
      <c r="C16" s="59">
        <v>29</v>
      </c>
      <c r="D16" s="59"/>
      <c r="E16" s="59"/>
      <c r="F16" s="59"/>
      <c r="G16" s="59"/>
      <c r="H16" s="59"/>
      <c r="I16" s="59">
        <v>12965.42</v>
      </c>
      <c r="J16" s="59">
        <v>6.33</v>
      </c>
      <c r="K16" s="59"/>
      <c r="L16" s="59"/>
      <c r="N16" s="65" t="s">
        <v>443</v>
      </c>
      <c r="O16" s="8">
        <f>+C19+D19+E19</f>
        <v>27841.5</v>
      </c>
      <c r="P16" s="8"/>
    </row>
    <row r="17" spans="1:16" x14ac:dyDescent="0.2">
      <c r="A17" s="194"/>
      <c r="B17" s="194" t="s">
        <v>117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N17" s="65" t="s">
        <v>444</v>
      </c>
      <c r="O17" s="8">
        <f>-C34-H34-I34-K34</f>
        <v>-31536</v>
      </c>
      <c r="P17" s="8"/>
    </row>
    <row r="18" spans="1:16" x14ac:dyDescent="0.2">
      <c r="A18" s="194"/>
      <c r="B18" s="194" t="s">
        <v>118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O18" s="8">
        <f>SUM(O16:O17)</f>
        <v>-3694.5</v>
      </c>
      <c r="P18" s="8"/>
    </row>
    <row r="19" spans="1:16" ht="13.5" thickBot="1" x14ac:dyDescent="0.25">
      <c r="A19" s="194"/>
      <c r="B19" s="194"/>
      <c r="C19" s="198">
        <f t="shared" ref="C19:H19" si="0">SUM(C7:C18)</f>
        <v>5029</v>
      </c>
      <c r="D19" s="198">
        <f t="shared" si="0"/>
        <v>20000</v>
      </c>
      <c r="E19" s="198">
        <f t="shared" si="0"/>
        <v>2812.5</v>
      </c>
      <c r="F19" s="198">
        <f t="shared" si="0"/>
        <v>0</v>
      </c>
      <c r="G19" s="198">
        <f t="shared" si="0"/>
        <v>5000</v>
      </c>
      <c r="H19" s="198">
        <f t="shared" si="0"/>
        <v>0</v>
      </c>
      <c r="I19" s="198">
        <f>SUM(I7:I18)</f>
        <v>12965.42</v>
      </c>
      <c r="J19" s="198">
        <f>SUM(J8:J18)</f>
        <v>16.060000000000002</v>
      </c>
      <c r="K19" s="198"/>
      <c r="L19" s="198">
        <f>SUM(C19:K19)</f>
        <v>45822.979999999996</v>
      </c>
      <c r="P19" s="8"/>
    </row>
    <row r="20" spans="1:16" ht="13.5" thickTop="1" x14ac:dyDescent="0.2">
      <c r="A20" s="196" t="s">
        <v>10</v>
      </c>
      <c r="B20" s="194"/>
      <c r="C20" s="59"/>
      <c r="D20" s="59"/>
      <c r="E20" s="59"/>
      <c r="F20" s="59"/>
      <c r="G20" s="59"/>
      <c r="H20" s="59"/>
      <c r="I20" s="59"/>
      <c r="J20" s="59"/>
      <c r="K20" s="59"/>
      <c r="L20" s="59"/>
      <c r="O20" s="8">
        <f>+O5+O7-O16-O8+O10-O17</f>
        <v>-5171.9000000000015</v>
      </c>
      <c r="P20" s="8"/>
    </row>
    <row r="21" spans="1:16" x14ac:dyDescent="0.2">
      <c r="A21" s="194"/>
      <c r="B21" s="194"/>
      <c r="C21" s="59" t="s">
        <v>119</v>
      </c>
      <c r="D21" s="59" t="s">
        <v>14</v>
      </c>
      <c r="E21" s="59" t="s">
        <v>120</v>
      </c>
      <c r="F21" s="59" t="s">
        <v>121</v>
      </c>
      <c r="G21" s="197" t="s">
        <v>354</v>
      </c>
      <c r="H21" s="197" t="s">
        <v>13</v>
      </c>
      <c r="I21" s="197" t="s">
        <v>205</v>
      </c>
      <c r="J21" s="59" t="s">
        <v>427</v>
      </c>
      <c r="K21" s="59" t="s">
        <v>442</v>
      </c>
      <c r="L21" s="59"/>
    </row>
    <row r="22" spans="1:16" x14ac:dyDescent="0.2">
      <c r="A22" s="194"/>
      <c r="B22" s="194" t="s">
        <v>107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6" x14ac:dyDescent="0.2">
      <c r="A23" s="194"/>
      <c r="B23" s="194" t="s">
        <v>108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6" x14ac:dyDescent="0.2">
      <c r="A24" s="194"/>
      <c r="B24" s="194" t="s">
        <v>109</v>
      </c>
      <c r="C24" s="59"/>
      <c r="D24" s="59"/>
      <c r="E24" s="59">
        <v>261.25</v>
      </c>
      <c r="F24" s="59">
        <v>25</v>
      </c>
      <c r="G24" s="59"/>
      <c r="H24" s="59"/>
      <c r="I24" s="59"/>
      <c r="J24" s="59"/>
      <c r="K24" s="59"/>
      <c r="L24" s="59"/>
    </row>
    <row r="25" spans="1:16" x14ac:dyDescent="0.2">
      <c r="A25" s="194"/>
      <c r="B25" s="194" t="s">
        <v>110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16" x14ac:dyDescent="0.2">
      <c r="A26" s="194"/>
      <c r="B26" s="194" t="s">
        <v>111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6" x14ac:dyDescent="0.2">
      <c r="A27" s="194"/>
      <c r="B27" s="194" t="s">
        <v>112</v>
      </c>
      <c r="C27" s="59">
        <v>26400</v>
      </c>
      <c r="D27" s="59"/>
      <c r="E27" s="59">
        <v>261.25</v>
      </c>
      <c r="F27" s="59">
        <v>25</v>
      </c>
      <c r="G27" s="59"/>
      <c r="H27" s="59">
        <v>5000</v>
      </c>
      <c r="I27" s="59">
        <v>29</v>
      </c>
      <c r="J27" s="59"/>
      <c r="K27" s="59">
        <v>78</v>
      </c>
      <c r="L27" s="59"/>
    </row>
    <row r="28" spans="1:16" x14ac:dyDescent="0.2">
      <c r="A28" s="194"/>
      <c r="B28" s="194" t="s">
        <v>113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6" x14ac:dyDescent="0.2">
      <c r="A29" s="194"/>
      <c r="B29" s="194" t="s">
        <v>114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6" x14ac:dyDescent="0.2">
      <c r="A30" s="194"/>
      <c r="B30" s="194" t="s">
        <v>115</v>
      </c>
      <c r="C30" s="59"/>
      <c r="D30" s="59"/>
      <c r="E30" s="59">
        <v>261.25</v>
      </c>
      <c r="F30" s="59">
        <v>25</v>
      </c>
      <c r="G30" s="59"/>
      <c r="H30" s="59"/>
      <c r="I30" s="59"/>
      <c r="J30" s="59"/>
      <c r="K30" s="59"/>
      <c r="L30" s="59"/>
      <c r="M30" s="8"/>
    </row>
    <row r="31" spans="1:16" x14ac:dyDescent="0.2">
      <c r="A31" s="194"/>
      <c r="B31" s="194" t="s">
        <v>116</v>
      </c>
      <c r="C31" s="59"/>
      <c r="D31" s="59"/>
      <c r="E31" s="59"/>
      <c r="F31" s="59"/>
      <c r="G31" s="59"/>
      <c r="H31" s="59"/>
      <c r="I31" s="59">
        <v>29</v>
      </c>
      <c r="J31" s="59">
        <v>10000</v>
      </c>
      <c r="K31" s="59"/>
      <c r="L31" s="59"/>
      <c r="M31" s="8"/>
    </row>
    <row r="32" spans="1:16" x14ac:dyDescent="0.2">
      <c r="A32" s="194"/>
      <c r="B32" s="194" t="s">
        <v>117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2">
      <c r="A33" s="194"/>
      <c r="B33" s="194" t="s">
        <v>118</v>
      </c>
      <c r="C33" s="59"/>
      <c r="D33" s="59"/>
      <c r="E33" s="59">
        <v>261.25</v>
      </c>
      <c r="F33" s="59">
        <v>26.9</v>
      </c>
      <c r="G33" s="59"/>
      <c r="H33" s="59"/>
      <c r="I33" s="59"/>
      <c r="J33" s="59"/>
      <c r="K33" s="59"/>
      <c r="L33" s="59"/>
    </row>
    <row r="34" spans="1:12" ht="13.5" thickBot="1" x14ac:dyDescent="0.25">
      <c r="A34" s="194"/>
      <c r="B34" s="194"/>
      <c r="C34" s="198">
        <f>SUM(C22:C33)</f>
        <v>26400</v>
      </c>
      <c r="D34" s="198">
        <f>SUM(D22:D33)</f>
        <v>0</v>
      </c>
      <c r="E34" s="198">
        <f>SUM(E22:E33)</f>
        <v>1045</v>
      </c>
      <c r="F34" s="198">
        <f>SUM(F22:F33)</f>
        <v>101.9</v>
      </c>
      <c r="G34" s="198">
        <f>SUM(G22:G33)</f>
        <v>0</v>
      </c>
      <c r="H34" s="198">
        <f t="shared" ref="H34:I34" si="1">SUM(H22:H33)</f>
        <v>5000</v>
      </c>
      <c r="I34" s="198">
        <f t="shared" si="1"/>
        <v>58</v>
      </c>
      <c r="J34" s="198">
        <f>SUM(J22:J33)</f>
        <v>10000</v>
      </c>
      <c r="K34" s="198">
        <f>SUM(K23:K33)</f>
        <v>78</v>
      </c>
      <c r="L34" s="198">
        <f>SUM(C34:K34)</f>
        <v>42682.9</v>
      </c>
    </row>
    <row r="35" spans="1:12" ht="13.5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22" workbookViewId="0">
      <selection activeCell="C30" sqref="C30"/>
    </sheetView>
  </sheetViews>
  <sheetFormatPr defaultRowHeight="12.75" x14ac:dyDescent="0.2"/>
  <cols>
    <col min="3" max="4" width="10.28515625" bestFit="1" customWidth="1"/>
    <col min="5" max="5" width="11.5703125" bestFit="1" customWidth="1"/>
    <col min="6" max="6" width="12.5703125" bestFit="1" customWidth="1"/>
    <col min="7" max="7" width="14.5703125" bestFit="1" customWidth="1"/>
    <col min="8" max="8" width="10.28515625" bestFit="1" customWidth="1"/>
    <col min="9" max="9" width="17.5703125" bestFit="1" customWidth="1"/>
    <col min="10" max="10" width="10.28515625" bestFit="1" customWidth="1"/>
    <col min="12" max="12" width="10.28515625" bestFit="1" customWidth="1"/>
    <col min="14" max="14" width="19.7109375" bestFit="1" customWidth="1"/>
    <col min="15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438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>
        <v>1000</v>
      </c>
      <c r="P5" s="63"/>
      <c r="Q5" s="63">
        <v>4495.01</v>
      </c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429</v>
      </c>
      <c r="G6" s="60" t="s">
        <v>105</v>
      </c>
      <c r="H6" s="73" t="s">
        <v>353</v>
      </c>
      <c r="I6" s="60"/>
      <c r="J6" s="60" t="s">
        <v>440</v>
      </c>
      <c r="K6" s="60"/>
      <c r="L6" s="60"/>
      <c r="N6" s="65" t="s">
        <v>127</v>
      </c>
      <c r="O6" s="60"/>
      <c r="P6" s="60"/>
      <c r="Q6" s="60"/>
      <c r="R6" s="60">
        <f>SUM(O6:Q6)</f>
        <v>0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128</v>
      </c>
      <c r="O7" s="60">
        <f>+L19-J19</f>
        <v>46472.5</v>
      </c>
      <c r="P7" s="60"/>
      <c r="Q7" s="60">
        <f>+J19</f>
        <v>11.75</v>
      </c>
      <c r="R7" s="60">
        <f>SUM(O7:Q7)</f>
        <v>46484.25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192">
        <v>22000</v>
      </c>
      <c r="I8" s="60"/>
      <c r="J8" s="60"/>
      <c r="K8" s="60"/>
      <c r="L8" s="60"/>
      <c r="N8" s="65" t="s">
        <v>135</v>
      </c>
      <c r="O8" s="60">
        <f>-Q8</f>
        <v>-8442.6</v>
      </c>
      <c r="P8" s="60"/>
      <c r="Q8" s="60">
        <f>21995-12800-261.25-3000-25.95-261.25-25.95-261.25-25+3369.5-261.25</f>
        <v>8442.6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445</v>
      </c>
      <c r="O9" s="60">
        <f>-O17-O16</f>
        <v>9864</v>
      </c>
      <c r="P9" s="60"/>
      <c r="Q9" s="60"/>
      <c r="R9" s="60"/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129</v>
      </c>
      <c r="O10" s="60">
        <f>-L34</f>
        <v>-47918.9</v>
      </c>
      <c r="P10" s="60"/>
      <c r="Q10" s="60">
        <f>-P10</f>
        <v>0</v>
      </c>
      <c r="R10" s="60">
        <f>SUM(O10:Q10)</f>
        <v>-47918.9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130</v>
      </c>
      <c r="O11" s="60">
        <f>SUM(O5:O10)</f>
        <v>975</v>
      </c>
      <c r="P11" s="60"/>
      <c r="Q11" s="60">
        <f>SUM(Q5:Q10)</f>
        <v>12949.36</v>
      </c>
      <c r="R11" s="60">
        <f>SUM(R6:R10)</f>
        <v>-1434.6500000000015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192">
        <v>4.55</v>
      </c>
      <c r="K12" s="60"/>
      <c r="L12" s="60"/>
      <c r="N12" s="65" t="s">
        <v>133</v>
      </c>
      <c r="O12" s="60">
        <v>975</v>
      </c>
      <c r="P12" s="60"/>
      <c r="Q12" s="60">
        <v>12949.36</v>
      </c>
      <c r="R12" s="60">
        <f>SUM(O12:Q12)</f>
        <v>13924.36</v>
      </c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3"/>
      <c r="O13" s="63"/>
      <c r="P13" s="63"/>
      <c r="Q13" s="63"/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N14" s="65" t="s">
        <v>136</v>
      </c>
      <c r="O14" s="60">
        <f>+O12-O11</f>
        <v>0</v>
      </c>
      <c r="P14" s="63"/>
      <c r="Q14" s="63">
        <f>+Q12-Q11</f>
        <v>0</v>
      </c>
      <c r="R14" s="63"/>
    </row>
    <row r="15" spans="1:18" x14ac:dyDescent="0.2">
      <c r="A15" s="63"/>
      <c r="B15" s="63" t="s">
        <v>115</v>
      </c>
      <c r="C15" s="60">
        <v>5000</v>
      </c>
      <c r="D15" s="60">
        <f>6739*2</f>
        <v>13478</v>
      </c>
      <c r="E15" s="60">
        <v>2625</v>
      </c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N16" s="65" t="s">
        <v>443</v>
      </c>
      <c r="O16" s="8">
        <f>+D19+E19</f>
        <v>16103</v>
      </c>
      <c r="P16" s="8"/>
    </row>
    <row r="17" spans="1:16" x14ac:dyDescent="0.2">
      <c r="A17" s="63"/>
      <c r="B17" s="63" t="s">
        <v>117</v>
      </c>
      <c r="C17" s="60"/>
      <c r="D17" s="60"/>
      <c r="E17" s="60"/>
      <c r="F17" s="60"/>
      <c r="G17" s="192">
        <v>3369.5</v>
      </c>
      <c r="H17" s="60"/>
      <c r="I17" s="60"/>
      <c r="J17" s="60"/>
      <c r="K17" s="60"/>
      <c r="L17" s="60"/>
      <c r="N17" s="65" t="s">
        <v>444</v>
      </c>
      <c r="O17" s="8">
        <f>-C30-I30-K30</f>
        <v>-25967</v>
      </c>
      <c r="P17" s="8"/>
    </row>
    <row r="18" spans="1:16" x14ac:dyDescent="0.2">
      <c r="A18" s="63"/>
      <c r="B18" s="63" t="s">
        <v>118</v>
      </c>
      <c r="C18" s="60"/>
      <c r="D18" s="60"/>
      <c r="E18" s="60"/>
      <c r="F18" s="60"/>
      <c r="G18" s="60"/>
      <c r="H18" s="60"/>
      <c r="I18" s="60"/>
      <c r="J18" s="192">
        <v>7.2</v>
      </c>
      <c r="K18" s="60"/>
      <c r="L18" s="60"/>
      <c r="O18" s="8">
        <f>SUM(O16:O17)</f>
        <v>-9864</v>
      </c>
      <c r="P18" s="8"/>
    </row>
    <row r="19" spans="1:16" ht="13.5" thickBot="1" x14ac:dyDescent="0.25">
      <c r="A19" s="63"/>
      <c r="B19" s="63"/>
      <c r="C19" s="61">
        <f t="shared" ref="C19:H19" si="0">SUM(C7:C18)</f>
        <v>5000</v>
      </c>
      <c r="D19" s="61">
        <f t="shared" si="0"/>
        <v>13478</v>
      </c>
      <c r="E19" s="61">
        <f t="shared" si="0"/>
        <v>2625</v>
      </c>
      <c r="F19" s="61">
        <f t="shared" si="0"/>
        <v>0</v>
      </c>
      <c r="G19" s="61">
        <f t="shared" si="0"/>
        <v>3369.5</v>
      </c>
      <c r="H19" s="61">
        <f t="shared" si="0"/>
        <v>22000</v>
      </c>
      <c r="I19" s="61"/>
      <c r="J19" s="61">
        <f>SUM(J8:J18)</f>
        <v>11.75</v>
      </c>
      <c r="K19" s="61"/>
      <c r="L19" s="61">
        <f>SUM(C19:K19)</f>
        <v>46484.25</v>
      </c>
      <c r="P19" s="8"/>
    </row>
    <row r="20" spans="1:16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  <c r="P20" s="8"/>
    </row>
    <row r="21" spans="1:16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427</v>
      </c>
      <c r="K21" s="60" t="s">
        <v>442</v>
      </c>
      <c r="L21" s="60"/>
    </row>
    <row r="22" spans="1:16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6" x14ac:dyDescent="0.2">
      <c r="A23" s="63"/>
      <c r="B23" s="63" t="s">
        <v>108</v>
      </c>
      <c r="C23" s="60"/>
      <c r="D23" s="192">
        <v>5</v>
      </c>
      <c r="E23" s="60"/>
      <c r="F23" s="60"/>
      <c r="G23" s="60"/>
      <c r="H23" s="60"/>
      <c r="I23" s="60"/>
      <c r="J23" s="192">
        <v>12800</v>
      </c>
      <c r="K23" s="60"/>
      <c r="L23" s="60"/>
    </row>
    <row r="24" spans="1:16" x14ac:dyDescent="0.2">
      <c r="A24" s="63"/>
      <c r="B24" s="63" t="s">
        <v>109</v>
      </c>
      <c r="C24" s="60"/>
      <c r="D24" s="192">
        <v>25.95</v>
      </c>
      <c r="E24" s="192">
        <v>261.25</v>
      </c>
      <c r="F24" s="60"/>
      <c r="G24" s="60"/>
      <c r="H24" s="60"/>
      <c r="I24" s="60"/>
      <c r="J24" s="192">
        <v>3000</v>
      </c>
      <c r="K24" s="60"/>
      <c r="L24" s="60"/>
    </row>
    <row r="25" spans="1:16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6" x14ac:dyDescent="0.2">
      <c r="A26" s="63"/>
      <c r="B26" s="63" t="s">
        <v>111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6" x14ac:dyDescent="0.2">
      <c r="A27" s="63"/>
      <c r="B27" s="63" t="s">
        <v>112</v>
      </c>
      <c r="C27" s="60"/>
      <c r="D27" s="192">
        <v>25.95</v>
      </c>
      <c r="E27" s="192">
        <v>261.25</v>
      </c>
      <c r="F27" s="60"/>
      <c r="G27" s="60"/>
      <c r="H27" s="60"/>
      <c r="I27" s="60"/>
      <c r="J27" s="60"/>
      <c r="K27" s="60"/>
      <c r="L27" s="60"/>
    </row>
    <row r="28" spans="1:16" x14ac:dyDescent="0.2">
      <c r="A28" s="63"/>
      <c r="B28" s="63" t="s">
        <v>113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6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6" x14ac:dyDescent="0.2">
      <c r="A30" s="63"/>
      <c r="B30" s="63" t="s">
        <v>115</v>
      </c>
      <c r="C30" s="60">
        <v>25800</v>
      </c>
      <c r="D30" s="192">
        <v>25</v>
      </c>
      <c r="E30" s="192">
        <v>261.25</v>
      </c>
      <c r="F30" s="60">
        <v>5000</v>
      </c>
      <c r="G30" s="60"/>
      <c r="H30" s="60"/>
      <c r="I30" s="60">
        <v>29</v>
      </c>
      <c r="J30" s="60"/>
      <c r="K30" s="60">
        <v>138</v>
      </c>
      <c r="L30" s="60"/>
      <c r="M30" s="8"/>
    </row>
    <row r="31" spans="1:16" x14ac:dyDescent="0.2">
      <c r="A31" s="63"/>
      <c r="B31" s="63" t="s">
        <v>116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6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192">
        <v>25</v>
      </c>
      <c r="E33" s="193">
        <v>261.25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25800</v>
      </c>
      <c r="D34" s="61">
        <f>SUM(D22:D33)</f>
        <v>106.9</v>
      </c>
      <c r="E34" s="61">
        <f>SUM(E22:E33)</f>
        <v>1045</v>
      </c>
      <c r="F34" s="61">
        <f>SUM(F22:F33)</f>
        <v>5000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15800</v>
      </c>
      <c r="K34" s="61">
        <f>SUM(K23:K33)</f>
        <v>138</v>
      </c>
      <c r="L34" s="61">
        <f>SUM(C34:K34)</f>
        <v>47918.9</v>
      </c>
    </row>
    <row r="35" spans="1:12" ht="13.5" thickTop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opLeftCell="A4" workbookViewId="0">
      <selection sqref="A1:XFD34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426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429</v>
      </c>
      <c r="G6" s="60" t="s">
        <v>105</v>
      </c>
      <c r="H6" s="73" t="s">
        <v>353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128</v>
      </c>
      <c r="O7" s="60">
        <f>+L19-F19</f>
        <v>3264</v>
      </c>
      <c r="P7" s="60"/>
      <c r="Q7" s="60">
        <f>+F19</f>
        <v>1194.24</v>
      </c>
      <c r="R7" s="60">
        <f>SUM(O7:Q7)</f>
        <v>4458.24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-5171.75</v>
      </c>
      <c r="P9" s="60"/>
      <c r="Q9" s="60">
        <f>-P9</f>
        <v>0</v>
      </c>
      <c r="R9" s="60">
        <f>SUM(O9:Q9)</f>
        <v>-5171.75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130</v>
      </c>
      <c r="O10" s="60">
        <f>SUM(O6:O9)</f>
        <v>2179.7200000000003</v>
      </c>
      <c r="P10" s="60"/>
      <c r="Q10" s="60">
        <f>SUM(Q6:Q9)</f>
        <v>5136.3399999999992</v>
      </c>
      <c r="R10" s="60">
        <f>SUM(R6:R9)</f>
        <v>7316.0599999999995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>
        <v>2500</v>
      </c>
      <c r="H13" s="60"/>
      <c r="I13" s="60"/>
      <c r="J13" s="60"/>
      <c r="K13" s="60"/>
      <c r="L13" s="60"/>
      <c r="N13" s="65" t="s">
        <v>136</v>
      </c>
      <c r="O13" s="60">
        <f>+O11-O10</f>
        <v>-1179.7200000000003</v>
      </c>
      <c r="P13" s="63"/>
      <c r="Q13" s="63">
        <f>+Q11-Q10</f>
        <v>-1188.329999999999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>
        <v>1192.5999999999999</v>
      </c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118</v>
      </c>
      <c r="C18" s="60"/>
      <c r="D18" s="60"/>
      <c r="E18" s="60"/>
      <c r="F18" s="60">
        <v>1.64</v>
      </c>
      <c r="G18" s="60">
        <v>764</v>
      </c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1194.24</v>
      </c>
      <c r="G19" s="61">
        <f t="shared" si="0"/>
        <v>3264</v>
      </c>
      <c r="H19" s="61">
        <f t="shared" si="0"/>
        <v>0</v>
      </c>
      <c r="I19" s="61"/>
      <c r="J19" s="61"/>
      <c r="K19" s="61"/>
      <c r="L19" s="61">
        <f>SUM(C19:K19)</f>
        <v>4458.24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427</v>
      </c>
      <c r="K21" s="60"/>
      <c r="L21" s="60"/>
    </row>
    <row r="22" spans="1:13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108</v>
      </c>
      <c r="C23" s="60"/>
      <c r="D23" s="60">
        <v>25</v>
      </c>
      <c r="E23" s="60"/>
      <c r="F23" s="60"/>
      <c r="G23" s="60"/>
      <c r="H23" s="60"/>
      <c r="I23" s="60"/>
      <c r="J23" s="60">
        <v>4000</v>
      </c>
      <c r="K23" s="60"/>
      <c r="L23" s="60"/>
    </row>
    <row r="24" spans="1:13" x14ac:dyDescent="0.2">
      <c r="A24" s="63"/>
      <c r="B24" s="63" t="s">
        <v>109</v>
      </c>
      <c r="C24" s="60"/>
      <c r="D24" s="60">
        <v>25.95</v>
      </c>
      <c r="E24" s="60">
        <v>261.25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112</v>
      </c>
      <c r="C27" s="60"/>
      <c r="D27" s="60"/>
      <c r="E27" s="60">
        <v>261.25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113</v>
      </c>
      <c r="C28" s="60"/>
      <c r="D28" s="60">
        <v>25</v>
      </c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115</v>
      </c>
      <c r="C30" s="60"/>
      <c r="D30" s="60">
        <v>25.8</v>
      </c>
      <c r="E30" s="60">
        <v>261.25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60">
        <v>25</v>
      </c>
      <c r="E33" s="60">
        <v>261.25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0</v>
      </c>
      <c r="D34" s="61">
        <f>SUM(D22:D33)</f>
        <v>126.75</v>
      </c>
      <c r="E34" s="61">
        <f>SUM(E22:E33)</f>
        <v>1045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0</v>
      </c>
      <c r="J34" s="61">
        <f>SUM(J22:J33)</f>
        <v>4000</v>
      </c>
      <c r="K34" s="61"/>
      <c r="L34" s="61">
        <f>SUM(C34:K34)</f>
        <v>5171.75</v>
      </c>
    </row>
    <row r="35" spans="1:12" ht="13.5" thickTop="1" x14ac:dyDescent="0.2"/>
    <row r="37" spans="1:12" ht="20.25" x14ac:dyDescent="0.3">
      <c r="A37" s="104" t="s">
        <v>150</v>
      </c>
    </row>
    <row r="39" spans="1:12" x14ac:dyDescent="0.2">
      <c r="B39" s="50" t="s">
        <v>151</v>
      </c>
    </row>
    <row r="40" spans="1:12" x14ac:dyDescent="0.2">
      <c r="G40" s="50" t="s">
        <v>201</v>
      </c>
    </row>
    <row r="41" spans="1:12" x14ac:dyDescent="0.2">
      <c r="B41" s="201" t="s">
        <v>303</v>
      </c>
      <c r="C41" s="201"/>
      <c r="D41" s="201"/>
      <c r="E41" s="201"/>
      <c r="F41" s="68">
        <v>6164.37</v>
      </c>
      <c r="G41" s="50" t="s">
        <v>352</v>
      </c>
      <c r="H41" s="50" t="s">
        <v>147</v>
      </c>
      <c r="I41" s="50" t="s">
        <v>144</v>
      </c>
      <c r="J41" s="50" t="s">
        <v>145</v>
      </c>
      <c r="K41" s="50" t="s">
        <v>203</v>
      </c>
    </row>
    <row r="42" spans="1:12" ht="25.5" x14ac:dyDescent="0.2">
      <c r="B42" s="69">
        <v>41949</v>
      </c>
      <c r="C42" s="69">
        <v>41946</v>
      </c>
      <c r="D42" s="180" t="s">
        <v>152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80" t="s">
        <v>153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80" t="s">
        <v>154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80" t="s">
        <v>155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80" t="s">
        <v>156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80" t="s">
        <v>157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80" t="s">
        <v>158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80" t="s">
        <v>159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80" t="s">
        <v>160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80" t="s">
        <v>161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80" t="s">
        <v>162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80" t="s">
        <v>163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80" t="s">
        <v>164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80" t="s">
        <v>165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80" t="s">
        <v>166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80" t="s">
        <v>167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80" t="s">
        <v>168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80" t="s">
        <v>169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80" t="s">
        <v>170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80" t="s">
        <v>171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80" t="s">
        <v>172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80" t="s">
        <v>173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80" t="s">
        <v>174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80" t="s">
        <v>175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80" t="s">
        <v>176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80" t="s">
        <v>177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80" t="s">
        <v>178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80" t="s">
        <v>179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80" t="s">
        <v>180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80" t="s">
        <v>181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80" t="s">
        <v>182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80" t="s">
        <v>183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80" t="s">
        <v>184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80" t="s">
        <v>185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80" t="s">
        <v>186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80" t="s">
        <v>187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80" t="s">
        <v>188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80" t="s">
        <v>189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80" t="s">
        <v>190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80" t="s">
        <v>191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80" t="s">
        <v>192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80" t="s">
        <v>193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80" t="s">
        <v>194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80" t="s">
        <v>195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80" t="s">
        <v>196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80" t="s">
        <v>197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80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80"/>
      <c r="E89" s="71"/>
      <c r="F89" s="71"/>
      <c r="J89" s="70"/>
    </row>
    <row r="90" spans="2:12" x14ac:dyDescent="0.2">
      <c r="B90" s="201" t="s">
        <v>351</v>
      </c>
      <c r="C90" s="201"/>
      <c r="D90" s="201"/>
      <c r="E90" s="68" t="s">
        <v>199</v>
      </c>
      <c r="F90" s="71">
        <f>+F41+L88</f>
        <v>348.35000000000127</v>
      </c>
      <c r="H90" s="50" t="s">
        <v>208</v>
      </c>
    </row>
    <row r="91" spans="2:12" x14ac:dyDescent="0.2">
      <c r="B91" s="201" t="s">
        <v>204</v>
      </c>
      <c r="C91" s="201"/>
      <c r="D91" s="201"/>
      <c r="E91" s="201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  <row r="113" spans="1:8" ht="13.5" thickBot="1" x14ac:dyDescent="0.25"/>
    <row r="114" spans="1:8" x14ac:dyDescent="0.2">
      <c r="A114" s="182" t="s">
        <v>212</v>
      </c>
      <c r="B114" s="183" t="s">
        <v>213</v>
      </c>
      <c r="C114" s="183" t="s">
        <v>214</v>
      </c>
      <c r="D114" s="183" t="s">
        <v>215</v>
      </c>
      <c r="E114" s="184" t="s">
        <v>216</v>
      </c>
      <c r="F114" s="184" t="s">
        <v>401</v>
      </c>
      <c r="G114" s="184" t="s">
        <v>217</v>
      </c>
      <c r="H114" s="185"/>
    </row>
    <row r="115" spans="1:8" ht="25.5" x14ac:dyDescent="0.2">
      <c r="A115" s="85"/>
      <c r="B115" s="79" t="s">
        <v>218</v>
      </c>
      <c r="C115" s="79" t="s">
        <v>219</v>
      </c>
      <c r="D115" s="79" t="s">
        <v>432</v>
      </c>
      <c r="E115" s="79" t="s">
        <v>404</v>
      </c>
      <c r="F115" s="81">
        <v>818</v>
      </c>
      <c r="G115" s="81">
        <v>6.34</v>
      </c>
      <c r="H115" s="86" t="s">
        <v>221</v>
      </c>
    </row>
    <row r="116" spans="1:8" ht="25.5" x14ac:dyDescent="0.2">
      <c r="A116" s="87"/>
      <c r="B116" s="82" t="s">
        <v>218</v>
      </c>
      <c r="C116" s="82" t="s">
        <v>219</v>
      </c>
      <c r="D116" s="82" t="s">
        <v>222</v>
      </c>
      <c r="E116" s="82" t="s">
        <v>223</v>
      </c>
      <c r="F116" s="83">
        <v>1277</v>
      </c>
      <c r="G116" s="83">
        <v>1951.89</v>
      </c>
      <c r="H116" s="88" t="s">
        <v>221</v>
      </c>
    </row>
    <row r="117" spans="1:8" ht="25.5" x14ac:dyDescent="0.2">
      <c r="A117" s="85"/>
      <c r="B117" s="79" t="s">
        <v>218</v>
      </c>
      <c r="C117" s="79" t="s">
        <v>219</v>
      </c>
      <c r="D117" s="79" t="s">
        <v>222</v>
      </c>
      <c r="E117" s="79" t="s">
        <v>223</v>
      </c>
      <c r="F117" s="80">
        <v>10000</v>
      </c>
      <c r="G117" s="80">
        <v>15285</v>
      </c>
      <c r="H117" s="86" t="s">
        <v>221</v>
      </c>
    </row>
    <row r="118" spans="1:8" ht="25.5" x14ac:dyDescent="0.2">
      <c r="A118" s="87"/>
      <c r="B118" s="82" t="s">
        <v>218</v>
      </c>
      <c r="C118" s="82" t="s">
        <v>219</v>
      </c>
      <c r="D118" s="82" t="s">
        <v>222</v>
      </c>
      <c r="E118" s="82" t="s">
        <v>223</v>
      </c>
      <c r="F118" s="83">
        <v>11277</v>
      </c>
      <c r="G118" s="83">
        <v>17236.89</v>
      </c>
      <c r="H118" s="88" t="s">
        <v>221</v>
      </c>
    </row>
    <row r="119" spans="1:8" ht="25.5" x14ac:dyDescent="0.2">
      <c r="A119" s="85"/>
      <c r="B119" s="79" t="s">
        <v>218</v>
      </c>
      <c r="C119" s="79" t="s">
        <v>219</v>
      </c>
      <c r="D119" s="79" t="s">
        <v>222</v>
      </c>
      <c r="E119" s="79" t="s">
        <v>223</v>
      </c>
      <c r="F119" s="80">
        <v>15000</v>
      </c>
      <c r="G119" s="80">
        <v>22927.5</v>
      </c>
      <c r="H119" s="86" t="s">
        <v>221</v>
      </c>
    </row>
    <row r="120" spans="1:8" ht="25.5" x14ac:dyDescent="0.2">
      <c r="A120" s="87"/>
      <c r="B120" s="82" t="s">
        <v>218</v>
      </c>
      <c r="C120" s="82" t="s">
        <v>219</v>
      </c>
      <c r="D120" s="82" t="s">
        <v>226</v>
      </c>
      <c r="E120" s="82" t="s">
        <v>405</v>
      </c>
      <c r="F120" s="83">
        <v>5411</v>
      </c>
      <c r="G120" s="83">
        <v>1028.0899999999999</v>
      </c>
      <c r="H120" s="88" t="s">
        <v>221</v>
      </c>
    </row>
    <row r="121" spans="1:8" ht="25.5" x14ac:dyDescent="0.2">
      <c r="A121" s="85"/>
      <c r="B121" s="79" t="s">
        <v>218</v>
      </c>
      <c r="C121" s="79" t="s">
        <v>219</v>
      </c>
      <c r="D121" s="79" t="s">
        <v>433</v>
      </c>
      <c r="E121" s="79" t="s">
        <v>434</v>
      </c>
      <c r="F121" s="81">
        <v>500</v>
      </c>
      <c r="G121" s="80">
        <v>5470</v>
      </c>
      <c r="H121" s="86" t="s">
        <v>221</v>
      </c>
    </row>
    <row r="122" spans="1:8" ht="25.5" x14ac:dyDescent="0.2">
      <c r="A122" s="87"/>
      <c r="B122" s="82" t="s">
        <v>218</v>
      </c>
      <c r="C122" s="82" t="s">
        <v>219</v>
      </c>
      <c r="D122" s="82" t="s">
        <v>233</v>
      </c>
      <c r="E122" s="82" t="s">
        <v>234</v>
      </c>
      <c r="F122" s="83">
        <v>5464</v>
      </c>
      <c r="G122" s="83">
        <v>12851.33</v>
      </c>
      <c r="H122" s="88" t="s">
        <v>221</v>
      </c>
    </row>
    <row r="123" spans="1:8" ht="25.5" x14ac:dyDescent="0.2">
      <c r="A123" s="85"/>
      <c r="B123" s="79" t="s">
        <v>218</v>
      </c>
      <c r="C123" s="79" t="s">
        <v>219</v>
      </c>
      <c r="D123" s="79" t="s">
        <v>233</v>
      </c>
      <c r="E123" s="79" t="s">
        <v>234</v>
      </c>
      <c r="F123" s="80">
        <v>4589</v>
      </c>
      <c r="G123" s="80">
        <v>10793.33</v>
      </c>
      <c r="H123" s="86" t="s">
        <v>221</v>
      </c>
    </row>
    <row r="124" spans="1:8" ht="25.5" x14ac:dyDescent="0.2">
      <c r="A124" s="87"/>
      <c r="B124" s="82" t="s">
        <v>218</v>
      </c>
      <c r="C124" s="82" t="s">
        <v>219</v>
      </c>
      <c r="D124" s="82" t="s">
        <v>233</v>
      </c>
      <c r="E124" s="82" t="s">
        <v>234</v>
      </c>
      <c r="F124" s="83">
        <v>2531</v>
      </c>
      <c r="G124" s="83">
        <v>5952.91</v>
      </c>
      <c r="H124" s="88" t="s">
        <v>221</v>
      </c>
    </row>
    <row r="125" spans="1:8" ht="25.5" x14ac:dyDescent="0.2">
      <c r="A125" s="85"/>
      <c r="B125" s="79" t="s">
        <v>218</v>
      </c>
      <c r="C125" s="79" t="s">
        <v>219</v>
      </c>
      <c r="D125" s="79" t="s">
        <v>238</v>
      </c>
      <c r="E125" s="79" t="s">
        <v>239</v>
      </c>
      <c r="F125" s="80">
        <v>9111</v>
      </c>
      <c r="G125" s="80">
        <v>18486.22</v>
      </c>
      <c r="H125" s="86" t="s">
        <v>221</v>
      </c>
    </row>
    <row r="126" spans="1:8" ht="25.5" x14ac:dyDescent="0.2">
      <c r="A126" s="87"/>
      <c r="B126" s="82" t="s">
        <v>218</v>
      </c>
      <c r="C126" s="82" t="s">
        <v>219</v>
      </c>
      <c r="D126" s="82" t="s">
        <v>238</v>
      </c>
      <c r="E126" s="82" t="s">
        <v>239</v>
      </c>
      <c r="F126" s="83">
        <v>2000</v>
      </c>
      <c r="G126" s="83">
        <v>4058</v>
      </c>
      <c r="H126" s="88" t="s">
        <v>221</v>
      </c>
    </row>
    <row r="127" spans="1:8" ht="25.5" x14ac:dyDescent="0.2">
      <c r="A127" s="85"/>
      <c r="B127" s="79" t="s">
        <v>218</v>
      </c>
      <c r="C127" s="79" t="s">
        <v>219</v>
      </c>
      <c r="D127" s="79" t="s">
        <v>238</v>
      </c>
      <c r="E127" s="79" t="s">
        <v>239</v>
      </c>
      <c r="F127" s="80">
        <v>2000</v>
      </c>
      <c r="G127" s="80">
        <v>4058</v>
      </c>
      <c r="H127" s="86" t="s">
        <v>221</v>
      </c>
    </row>
    <row r="128" spans="1:8" ht="25.5" x14ac:dyDescent="0.2">
      <c r="A128" s="87"/>
      <c r="B128" s="82" t="s">
        <v>218</v>
      </c>
      <c r="C128" s="82" t="s">
        <v>219</v>
      </c>
      <c r="D128" s="82" t="s">
        <v>238</v>
      </c>
      <c r="E128" s="82" t="s">
        <v>239</v>
      </c>
      <c r="F128" s="83">
        <v>2000</v>
      </c>
      <c r="G128" s="83">
        <v>4058</v>
      </c>
      <c r="H128" s="88" t="s">
        <v>221</v>
      </c>
    </row>
    <row r="129" spans="1:8" ht="25.5" x14ac:dyDescent="0.2">
      <c r="A129" s="85"/>
      <c r="B129" s="79" t="s">
        <v>218</v>
      </c>
      <c r="C129" s="79" t="s">
        <v>219</v>
      </c>
      <c r="D129" s="79" t="s">
        <v>293</v>
      </c>
      <c r="E129" s="79" t="s">
        <v>407</v>
      </c>
      <c r="F129" s="81">
        <v>531</v>
      </c>
      <c r="G129" s="81">
        <v>545.6</v>
      </c>
      <c r="H129" s="86" t="s">
        <v>221</v>
      </c>
    </row>
    <row r="130" spans="1:8" ht="25.5" x14ac:dyDescent="0.2">
      <c r="A130" s="87"/>
      <c r="B130" s="82" t="s">
        <v>218</v>
      </c>
      <c r="C130" s="82" t="s">
        <v>219</v>
      </c>
      <c r="D130" s="82" t="s">
        <v>293</v>
      </c>
      <c r="E130" s="82" t="s">
        <v>407</v>
      </c>
      <c r="F130" s="84">
        <v>531</v>
      </c>
      <c r="G130" s="84">
        <v>545.6</v>
      </c>
      <c r="H130" s="88" t="s">
        <v>221</v>
      </c>
    </row>
    <row r="131" spans="1:8" ht="26.25" thickBot="1" x14ac:dyDescent="0.25">
      <c r="A131" s="181"/>
      <c r="B131" s="186" t="s">
        <v>218</v>
      </c>
      <c r="C131" s="186" t="s">
        <v>219</v>
      </c>
      <c r="D131" s="186" t="s">
        <v>246</v>
      </c>
      <c r="E131" s="186" t="s">
        <v>435</v>
      </c>
      <c r="F131" s="187">
        <v>57686</v>
      </c>
      <c r="G131" s="187">
        <v>1384.46</v>
      </c>
      <c r="H131" s="188" t="s">
        <v>221</v>
      </c>
    </row>
    <row r="132" spans="1:8" x14ac:dyDescent="0.2">
      <c r="G132">
        <f>SUM(G115:G131)</f>
        <v>126639.16000000002</v>
      </c>
    </row>
  </sheetData>
  <mergeCells count="3">
    <mergeCell ref="B41:E41"/>
    <mergeCell ref="B90:D90"/>
    <mergeCell ref="B91:E9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pane xSplit="2" ySplit="6" topLeftCell="C25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358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104</v>
      </c>
      <c r="G6" s="60" t="s">
        <v>105</v>
      </c>
      <c r="H6" s="73" t="s">
        <v>353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N7" s="65" t="s">
        <v>128</v>
      </c>
      <c r="O7" s="60">
        <f>+L19-F19</f>
        <v>0</v>
      </c>
      <c r="P7" s="60"/>
      <c r="Q7" s="60">
        <f>+F19</f>
        <v>0</v>
      </c>
      <c r="R7" s="60">
        <f>SUM(O7:Q7)</f>
        <v>0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-5177.4800000000005</v>
      </c>
      <c r="P9" s="60"/>
      <c r="Q9" s="60">
        <f>-P9</f>
        <v>0</v>
      </c>
      <c r="R9" s="60">
        <f>SUM(O9:Q9)</f>
        <v>-5177.4800000000005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130</v>
      </c>
      <c r="O10" s="60">
        <f>SUM(O6:O9)</f>
        <v>-1090.0100000000002</v>
      </c>
      <c r="P10" s="60"/>
      <c r="Q10" s="60">
        <f>SUM(Q6:Q9)</f>
        <v>3942.0999999999995</v>
      </c>
      <c r="R10" s="60">
        <f>SUM(R6:R9)</f>
        <v>2852.0899999999992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136</v>
      </c>
      <c r="O13" s="60">
        <f>+O11-O10</f>
        <v>2090.0100000000002</v>
      </c>
      <c r="P13" s="63"/>
      <c r="Q13" s="63">
        <f>+Q11-Q10</f>
        <v>5.910000000000764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3" x14ac:dyDescent="0.2">
      <c r="A17" s="63"/>
      <c r="B17" s="63" t="s">
        <v>117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x14ac:dyDescent="0.2">
      <c r="A18" s="63"/>
      <c r="B18" s="63" t="s">
        <v>118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0</v>
      </c>
      <c r="G19" s="61">
        <f t="shared" si="0"/>
        <v>0</v>
      </c>
      <c r="H19" s="61">
        <f t="shared" si="0"/>
        <v>0</v>
      </c>
      <c r="I19" s="61"/>
      <c r="J19" s="61"/>
      <c r="K19" s="61"/>
      <c r="L19" s="61">
        <f>SUM(C19:K19)</f>
        <v>0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286</v>
      </c>
      <c r="K21" s="60"/>
      <c r="L21" s="60"/>
    </row>
    <row r="22" spans="1:13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109</v>
      </c>
      <c r="C24" s="60"/>
      <c r="D24" s="60">
        <v>8.93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111</v>
      </c>
      <c r="C26" s="60">
        <v>800</v>
      </c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112</v>
      </c>
      <c r="C27" s="60"/>
      <c r="D27" s="60">
        <v>9.5299999999999994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115</v>
      </c>
      <c r="C30" s="60"/>
      <c r="D30" s="60">
        <v>8.93</v>
      </c>
      <c r="E30" s="60">
        <v>285</v>
      </c>
      <c r="F30" s="60"/>
      <c r="G30" s="60"/>
      <c r="H30" s="60"/>
      <c r="I30" s="60"/>
      <c r="J30" s="60"/>
      <c r="K30" s="60"/>
      <c r="L30" s="60"/>
      <c r="M30" s="8"/>
    </row>
    <row r="31" spans="1:13" x14ac:dyDescent="0.2">
      <c r="A31" s="63"/>
      <c r="B31" s="63" t="s">
        <v>116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60">
        <v>8.93</v>
      </c>
      <c r="E33" s="60">
        <v>285</v>
      </c>
      <c r="F33" s="60">
        <v>1.1599999999999999</v>
      </c>
      <c r="G33" s="60">
        <v>3200</v>
      </c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800</v>
      </c>
      <c r="D34" s="61">
        <f>SUM(D22:D33)</f>
        <v>36.32</v>
      </c>
      <c r="E34" s="61">
        <f>SUM(E22:E33)</f>
        <v>1140</v>
      </c>
      <c r="F34" s="61">
        <f>SUM(F22:F33)</f>
        <v>1.1599999999999999</v>
      </c>
      <c r="G34" s="61">
        <f>SUM(G22:G33)</f>
        <v>3200</v>
      </c>
      <c r="H34" s="61">
        <f t="shared" ref="H34:I34" si="1">SUM(H22:H33)</f>
        <v>0</v>
      </c>
      <c r="I34" s="61">
        <f t="shared" si="1"/>
        <v>0</v>
      </c>
      <c r="J34" s="61">
        <f>SUM(J22:J33)</f>
        <v>0</v>
      </c>
      <c r="K34" s="61"/>
      <c r="L34" s="61">
        <f>SUM(C34:K34)</f>
        <v>5177.4800000000005</v>
      </c>
    </row>
    <row r="35" spans="1:12" ht="13.5" thickTop="1" x14ac:dyDescent="0.2"/>
    <row r="37" spans="1:12" ht="20.25" x14ac:dyDescent="0.3">
      <c r="A37" s="104" t="s">
        <v>150</v>
      </c>
    </row>
    <row r="39" spans="1:12" x14ac:dyDescent="0.2">
      <c r="B39" s="50" t="s">
        <v>151</v>
      </c>
    </row>
    <row r="40" spans="1:12" x14ac:dyDescent="0.2">
      <c r="G40" s="50" t="s">
        <v>201</v>
      </c>
    </row>
    <row r="41" spans="1:12" x14ac:dyDescent="0.2">
      <c r="B41" s="201" t="s">
        <v>303</v>
      </c>
      <c r="C41" s="201"/>
      <c r="D41" s="201"/>
      <c r="E41" s="201"/>
      <c r="F41" s="68">
        <v>6164.37</v>
      </c>
      <c r="G41" s="50" t="s">
        <v>352</v>
      </c>
      <c r="H41" s="50" t="s">
        <v>147</v>
      </c>
      <c r="I41" s="50" t="s">
        <v>144</v>
      </c>
      <c r="J41" s="50" t="s">
        <v>145</v>
      </c>
      <c r="K41" s="50" t="s">
        <v>203</v>
      </c>
    </row>
    <row r="42" spans="1:12" ht="25.5" x14ac:dyDescent="0.2">
      <c r="B42" s="69">
        <v>41949</v>
      </c>
      <c r="C42" s="69">
        <v>41946</v>
      </c>
      <c r="D42" s="127" t="s">
        <v>152</v>
      </c>
      <c r="E42" s="71">
        <v>1500</v>
      </c>
      <c r="F42" s="71"/>
      <c r="G42" s="70">
        <f>+E42</f>
        <v>1500</v>
      </c>
    </row>
    <row r="43" spans="1:12" x14ac:dyDescent="0.2">
      <c r="B43" s="69">
        <v>41963</v>
      </c>
      <c r="C43" s="69">
        <v>41967</v>
      </c>
      <c r="D43" s="127" t="s">
        <v>153</v>
      </c>
      <c r="E43" s="68">
        <v>-943</v>
      </c>
      <c r="F43" s="68"/>
      <c r="J43">
        <f>+E43</f>
        <v>-943</v>
      </c>
    </row>
    <row r="44" spans="1:12" x14ac:dyDescent="0.2">
      <c r="B44" s="69">
        <v>41970</v>
      </c>
      <c r="C44" s="69">
        <v>41974</v>
      </c>
      <c r="D44" s="127" t="s">
        <v>154</v>
      </c>
      <c r="E44" s="68">
        <v>617</v>
      </c>
      <c r="F44" s="71"/>
      <c r="I44">
        <f>+E44</f>
        <v>617</v>
      </c>
    </row>
    <row r="45" spans="1:12" x14ac:dyDescent="0.2">
      <c r="B45" s="69">
        <v>41971</v>
      </c>
      <c r="C45" s="69">
        <v>41975</v>
      </c>
      <c r="D45" s="127" t="s">
        <v>155</v>
      </c>
      <c r="E45" s="71">
        <v>11686</v>
      </c>
      <c r="F45" s="71"/>
      <c r="I45" s="70">
        <f>+E45</f>
        <v>11686</v>
      </c>
    </row>
    <row r="46" spans="1:12" x14ac:dyDescent="0.2">
      <c r="B46" s="69">
        <v>41971</v>
      </c>
      <c r="C46" s="69">
        <v>41975</v>
      </c>
      <c r="D46" s="127" t="s">
        <v>156</v>
      </c>
      <c r="E46" s="68">
        <v>617</v>
      </c>
      <c r="F46" s="71"/>
      <c r="I46">
        <f>+E46</f>
        <v>617</v>
      </c>
    </row>
    <row r="47" spans="1:12" x14ac:dyDescent="0.2">
      <c r="B47" s="69">
        <v>41974</v>
      </c>
      <c r="C47" s="69">
        <v>41976</v>
      </c>
      <c r="D47" s="127" t="s">
        <v>157</v>
      </c>
      <c r="E47" s="71">
        <v>-4953.7700000000004</v>
      </c>
      <c r="F47" s="71"/>
      <c r="J47" s="70">
        <f>+E47</f>
        <v>-4953.7700000000004</v>
      </c>
    </row>
    <row r="48" spans="1:12" x14ac:dyDescent="0.2">
      <c r="B48" s="69">
        <v>41976</v>
      </c>
      <c r="C48" s="69">
        <v>41978</v>
      </c>
      <c r="D48" s="127" t="s">
        <v>158</v>
      </c>
      <c r="E48" s="71">
        <v>-4277.53</v>
      </c>
      <c r="F48" s="71"/>
      <c r="J48" s="70">
        <f>+E48</f>
        <v>-4277.53</v>
      </c>
    </row>
    <row r="49" spans="2:11" x14ac:dyDescent="0.2">
      <c r="B49" s="69">
        <v>41977</v>
      </c>
      <c r="C49" s="69">
        <v>41981</v>
      </c>
      <c r="D49" s="127" t="s">
        <v>159</v>
      </c>
      <c r="E49" s="71">
        <v>-2438.5300000000002</v>
      </c>
      <c r="F49" s="71"/>
      <c r="J49" s="70">
        <f>+E49</f>
        <v>-2438.5300000000002</v>
      </c>
    </row>
    <row r="50" spans="2:11" x14ac:dyDescent="0.2">
      <c r="B50" s="69">
        <v>41984</v>
      </c>
      <c r="C50" s="69">
        <v>41984</v>
      </c>
      <c r="D50" s="127" t="s">
        <v>160</v>
      </c>
      <c r="E50" s="68">
        <v>116.87</v>
      </c>
      <c r="F50" s="71"/>
      <c r="K50">
        <f>+E50</f>
        <v>116.87</v>
      </c>
    </row>
    <row r="51" spans="2:11" x14ac:dyDescent="0.2">
      <c r="B51" s="69">
        <v>41985</v>
      </c>
      <c r="C51" s="69">
        <v>41989</v>
      </c>
      <c r="D51" s="127" t="s">
        <v>161</v>
      </c>
      <c r="E51" s="68">
        <v>-878</v>
      </c>
      <c r="F51" s="71"/>
      <c r="J51">
        <f>+E51</f>
        <v>-878</v>
      </c>
    </row>
    <row r="52" spans="2:11" x14ac:dyDescent="0.2">
      <c r="B52" s="69">
        <v>41985</v>
      </c>
      <c r="C52" s="69">
        <v>41989</v>
      </c>
      <c r="D52" s="127" t="s">
        <v>162</v>
      </c>
      <c r="E52" s="68">
        <v>-878</v>
      </c>
      <c r="F52" s="68"/>
      <c r="J52" s="70">
        <f>+E52</f>
        <v>-878</v>
      </c>
    </row>
    <row r="53" spans="2:11" ht="25.5" x14ac:dyDescent="0.2">
      <c r="B53" s="69">
        <v>41992</v>
      </c>
      <c r="C53" s="69">
        <v>41992</v>
      </c>
      <c r="D53" s="127" t="s">
        <v>163</v>
      </c>
      <c r="E53" s="68">
        <v>105.69</v>
      </c>
      <c r="F53" s="68"/>
      <c r="K53">
        <f>+E53</f>
        <v>105.69</v>
      </c>
    </row>
    <row r="54" spans="2:11" ht="25.5" x14ac:dyDescent="0.2">
      <c r="B54" s="69">
        <v>42037</v>
      </c>
      <c r="C54" s="69">
        <v>42037</v>
      </c>
      <c r="D54" s="127" t="s">
        <v>164</v>
      </c>
      <c r="E54" s="68">
        <v>-15.13</v>
      </c>
      <c r="F54" s="68"/>
      <c r="H54">
        <f>+E54</f>
        <v>-15.13</v>
      </c>
    </row>
    <row r="55" spans="2:11" ht="25.5" x14ac:dyDescent="0.2">
      <c r="B55" s="69">
        <v>42065</v>
      </c>
      <c r="C55" s="69">
        <v>42065</v>
      </c>
      <c r="D55" s="127" t="s">
        <v>165</v>
      </c>
      <c r="E55" s="68">
        <v>-13.59</v>
      </c>
      <c r="F55" s="68"/>
      <c r="H55">
        <f>+E55</f>
        <v>-13.59</v>
      </c>
    </row>
    <row r="56" spans="2:11" x14ac:dyDescent="0.2">
      <c r="B56" s="69">
        <v>42079</v>
      </c>
      <c r="C56" s="69">
        <v>42081</v>
      </c>
      <c r="D56" s="127" t="s">
        <v>166</v>
      </c>
      <c r="E56" s="71">
        <v>23582.89</v>
      </c>
      <c r="F56" s="71"/>
      <c r="I56" s="70">
        <f>+E56</f>
        <v>23582.89</v>
      </c>
    </row>
    <row r="57" spans="2:11" x14ac:dyDescent="0.2">
      <c r="B57" s="69">
        <v>42079</v>
      </c>
      <c r="C57" s="69">
        <v>42081</v>
      </c>
      <c r="D57" s="127" t="s">
        <v>167</v>
      </c>
      <c r="E57" s="71">
        <v>31723.24</v>
      </c>
      <c r="F57" s="71"/>
      <c r="I57" s="70">
        <f>+E57</f>
        <v>31723.24</v>
      </c>
    </row>
    <row r="58" spans="2:11" x14ac:dyDescent="0.2">
      <c r="B58" s="69">
        <v>42080</v>
      </c>
      <c r="C58" s="69">
        <v>42082</v>
      </c>
      <c r="D58" s="127" t="s">
        <v>168</v>
      </c>
      <c r="E58" s="71">
        <v>-2660.35</v>
      </c>
      <c r="F58" s="71"/>
      <c r="J58" s="70">
        <f t="shared" ref="J58:J64" si="2">+E58</f>
        <v>-2660.35</v>
      </c>
    </row>
    <row r="59" spans="2:11" x14ac:dyDescent="0.2">
      <c r="B59" s="69">
        <v>42080</v>
      </c>
      <c r="C59" s="69">
        <v>42082</v>
      </c>
      <c r="D59" s="127" t="s">
        <v>169</v>
      </c>
      <c r="E59" s="71">
        <v>-2176.9</v>
      </c>
      <c r="F59" s="71"/>
      <c r="J59" s="70">
        <f t="shared" si="2"/>
        <v>-2176.9</v>
      </c>
    </row>
    <row r="60" spans="2:11" x14ac:dyDescent="0.2">
      <c r="B60" s="69">
        <v>42080</v>
      </c>
      <c r="C60" s="69">
        <v>42082</v>
      </c>
      <c r="D60" s="127" t="s">
        <v>170</v>
      </c>
      <c r="E60" s="71">
        <v>-2588</v>
      </c>
      <c r="F60" s="71"/>
      <c r="J60" s="70">
        <f t="shared" si="2"/>
        <v>-2588</v>
      </c>
    </row>
    <row r="61" spans="2:11" x14ac:dyDescent="0.2">
      <c r="B61" s="69">
        <v>42080</v>
      </c>
      <c r="C61" s="69">
        <v>42082</v>
      </c>
      <c r="D61" s="127" t="s">
        <v>171</v>
      </c>
      <c r="E61" s="71">
        <v>-2508.94</v>
      </c>
      <c r="F61" s="71"/>
      <c r="J61" s="70">
        <f t="shared" si="2"/>
        <v>-2508.94</v>
      </c>
    </row>
    <row r="62" spans="2:11" x14ac:dyDescent="0.2">
      <c r="B62" s="69">
        <v>42080</v>
      </c>
      <c r="C62" s="69">
        <v>42082</v>
      </c>
      <c r="D62" s="127" t="s">
        <v>172</v>
      </c>
      <c r="E62" s="71">
        <v>-1980.31</v>
      </c>
      <c r="F62" s="71"/>
      <c r="J62" s="70">
        <f t="shared" si="2"/>
        <v>-1980.31</v>
      </c>
    </row>
    <row r="63" spans="2:11" ht="25.5" x14ac:dyDescent="0.2">
      <c r="B63" s="69">
        <v>42080</v>
      </c>
      <c r="C63" s="69">
        <v>42082</v>
      </c>
      <c r="D63" s="127" t="s">
        <v>173</v>
      </c>
      <c r="E63" s="71">
        <v>-9911.61</v>
      </c>
      <c r="F63" s="71"/>
      <c r="J63" s="70">
        <f t="shared" si="2"/>
        <v>-9911.61</v>
      </c>
    </row>
    <row r="64" spans="2:11" ht="25.5" x14ac:dyDescent="0.2">
      <c r="B64" s="69">
        <v>42080</v>
      </c>
      <c r="C64" s="69">
        <v>42082</v>
      </c>
      <c r="D64" s="127" t="s">
        <v>174</v>
      </c>
      <c r="E64" s="71">
        <v>-4804.87</v>
      </c>
      <c r="F64" s="71"/>
      <c r="J64" s="70">
        <f t="shared" si="2"/>
        <v>-4804.87</v>
      </c>
    </row>
    <row r="65" spans="2:10" ht="25.5" x14ac:dyDescent="0.2">
      <c r="B65" s="69">
        <v>42082</v>
      </c>
      <c r="C65" s="69">
        <v>42086</v>
      </c>
      <c r="D65" s="127" t="s">
        <v>175</v>
      </c>
      <c r="E65" s="71">
        <v>10198.790000000001</v>
      </c>
      <c r="F65" s="71"/>
      <c r="I65" s="70">
        <f>+E65</f>
        <v>10198.790000000001</v>
      </c>
    </row>
    <row r="66" spans="2:10" x14ac:dyDescent="0.2">
      <c r="B66" s="69">
        <v>42083</v>
      </c>
      <c r="C66" s="69">
        <v>42087</v>
      </c>
      <c r="D66" s="127" t="s">
        <v>176</v>
      </c>
      <c r="E66" s="71">
        <v>-12202.75</v>
      </c>
      <c r="F66" s="71"/>
      <c r="J66" s="70">
        <f>+E66</f>
        <v>-12202.75</v>
      </c>
    </row>
    <row r="67" spans="2:10" x14ac:dyDescent="0.2">
      <c r="B67" s="69">
        <v>42083</v>
      </c>
      <c r="C67" s="69">
        <v>42087</v>
      </c>
      <c r="D67" s="127" t="s">
        <v>177</v>
      </c>
      <c r="E67" s="71">
        <v>-6954.2</v>
      </c>
      <c r="F67" s="71"/>
      <c r="J67" s="70">
        <f>+E67</f>
        <v>-6954.2</v>
      </c>
    </row>
    <row r="68" spans="2:10" x14ac:dyDescent="0.2">
      <c r="B68" s="69">
        <v>42086</v>
      </c>
      <c r="C68" s="69">
        <v>42088</v>
      </c>
      <c r="D68" s="127" t="s">
        <v>178</v>
      </c>
      <c r="E68" s="71">
        <v>14794.28</v>
      </c>
      <c r="F68" s="71"/>
      <c r="I68" s="70">
        <f>+E68</f>
        <v>14794.28</v>
      </c>
    </row>
    <row r="69" spans="2:10" x14ac:dyDescent="0.2">
      <c r="B69" s="69">
        <v>42086</v>
      </c>
      <c r="C69" s="69">
        <v>42088</v>
      </c>
      <c r="D69" s="127" t="s">
        <v>179</v>
      </c>
      <c r="E69" s="71">
        <v>-2432</v>
      </c>
      <c r="F69" s="71"/>
      <c r="J69" s="70">
        <f>+E69</f>
        <v>-2432</v>
      </c>
    </row>
    <row r="70" spans="2:10" x14ac:dyDescent="0.2">
      <c r="B70" s="69">
        <v>42086</v>
      </c>
      <c r="C70" s="69">
        <v>42088</v>
      </c>
      <c r="D70" s="127" t="s">
        <v>180</v>
      </c>
      <c r="E70" s="71">
        <v>2117</v>
      </c>
      <c r="F70" s="71"/>
      <c r="I70" s="70">
        <f>+E70</f>
        <v>2117</v>
      </c>
    </row>
    <row r="71" spans="2:10" x14ac:dyDescent="0.2">
      <c r="B71" s="69">
        <v>42086</v>
      </c>
      <c r="C71" s="69">
        <v>42088</v>
      </c>
      <c r="D71" s="127" t="s">
        <v>181</v>
      </c>
      <c r="E71" s="71">
        <v>6974.96</v>
      </c>
      <c r="F71" s="71"/>
      <c r="I71" s="70">
        <f>+E71</f>
        <v>6974.96</v>
      </c>
    </row>
    <row r="72" spans="2:10" x14ac:dyDescent="0.2">
      <c r="B72" s="69">
        <v>42086</v>
      </c>
      <c r="C72" s="69">
        <v>42088</v>
      </c>
      <c r="D72" s="127" t="s">
        <v>182</v>
      </c>
      <c r="E72" s="71">
        <v>-6868.45</v>
      </c>
      <c r="F72" s="71"/>
      <c r="J72" s="70">
        <f>+E72</f>
        <v>-6868.45</v>
      </c>
    </row>
    <row r="73" spans="2:10" x14ac:dyDescent="0.2">
      <c r="B73" s="69">
        <v>42087</v>
      </c>
      <c r="C73" s="69">
        <v>42089</v>
      </c>
      <c r="D73" s="127" t="s">
        <v>183</v>
      </c>
      <c r="E73" s="71">
        <v>2784.33</v>
      </c>
      <c r="F73" s="71"/>
      <c r="I73" s="70">
        <f>+E73</f>
        <v>2784.33</v>
      </c>
    </row>
    <row r="74" spans="2:10" x14ac:dyDescent="0.2">
      <c r="B74" s="69">
        <v>42087</v>
      </c>
      <c r="C74" s="69">
        <v>42089</v>
      </c>
      <c r="D74" s="127" t="s">
        <v>184</v>
      </c>
      <c r="E74" s="71">
        <v>2657.34</v>
      </c>
      <c r="F74" s="71"/>
      <c r="I74" s="70">
        <f>+E74</f>
        <v>2657.34</v>
      </c>
    </row>
    <row r="75" spans="2:10" x14ac:dyDescent="0.2">
      <c r="B75" s="69">
        <v>42087</v>
      </c>
      <c r="C75" s="69">
        <v>42089</v>
      </c>
      <c r="D75" s="127" t="s">
        <v>185</v>
      </c>
      <c r="E75" s="71">
        <v>-4208</v>
      </c>
      <c r="F75" s="71"/>
      <c r="J75" s="70">
        <f>+E75</f>
        <v>-4208</v>
      </c>
    </row>
    <row r="76" spans="2:10" x14ac:dyDescent="0.2">
      <c r="B76" s="69">
        <v>42088</v>
      </c>
      <c r="C76" s="69">
        <v>42090</v>
      </c>
      <c r="D76" s="127" t="s">
        <v>186</v>
      </c>
      <c r="E76" s="71">
        <v>-2183.83</v>
      </c>
      <c r="F76" s="71"/>
      <c r="J76" s="70">
        <f>+E76</f>
        <v>-2183.83</v>
      </c>
    </row>
    <row r="77" spans="2:10" x14ac:dyDescent="0.2">
      <c r="B77" s="69">
        <v>42088</v>
      </c>
      <c r="C77" s="69">
        <v>42090</v>
      </c>
      <c r="D77" s="127" t="s">
        <v>187</v>
      </c>
      <c r="E77" s="71">
        <v>-4530.5</v>
      </c>
      <c r="F77" s="71"/>
      <c r="J77" s="70">
        <f>+E77</f>
        <v>-4530.5</v>
      </c>
    </row>
    <row r="78" spans="2:10" x14ac:dyDescent="0.2">
      <c r="B78" s="69">
        <v>42088</v>
      </c>
      <c r="C78" s="69">
        <v>42090</v>
      </c>
      <c r="D78" s="127" t="s">
        <v>188</v>
      </c>
      <c r="E78" s="71">
        <v>-4735.2700000000004</v>
      </c>
      <c r="F78" s="71"/>
      <c r="J78" s="70">
        <f>+E78</f>
        <v>-4735.2700000000004</v>
      </c>
    </row>
    <row r="79" spans="2:10" x14ac:dyDescent="0.2">
      <c r="B79" s="69">
        <v>42089</v>
      </c>
      <c r="C79" s="69">
        <v>42093</v>
      </c>
      <c r="D79" s="127" t="s">
        <v>189</v>
      </c>
      <c r="E79" s="71">
        <v>4412</v>
      </c>
      <c r="F79" s="71"/>
      <c r="I79" s="70">
        <f>+E79</f>
        <v>4412</v>
      </c>
    </row>
    <row r="80" spans="2:10" x14ac:dyDescent="0.2">
      <c r="B80" s="69">
        <v>42090</v>
      </c>
      <c r="C80" s="69">
        <v>42094</v>
      </c>
      <c r="D80" s="127" t="s">
        <v>190</v>
      </c>
      <c r="E80" s="71">
        <v>-6683</v>
      </c>
      <c r="F80" s="71"/>
      <c r="J80" s="70">
        <f>+E80</f>
        <v>-6683</v>
      </c>
    </row>
    <row r="81" spans="2:12" x14ac:dyDescent="0.2">
      <c r="B81" s="69">
        <v>42093</v>
      </c>
      <c r="C81" s="69">
        <v>42095</v>
      </c>
      <c r="D81" s="127" t="s">
        <v>191</v>
      </c>
      <c r="E81" s="71">
        <v>7704.5</v>
      </c>
      <c r="F81" s="71"/>
      <c r="I81" s="70">
        <f>+E81</f>
        <v>7704.5</v>
      </c>
    </row>
    <row r="82" spans="2:12" x14ac:dyDescent="0.2">
      <c r="B82" s="69">
        <v>42095</v>
      </c>
      <c r="C82" s="69">
        <v>42101</v>
      </c>
      <c r="D82" s="127" t="s">
        <v>192</v>
      </c>
      <c r="E82" s="71">
        <v>-5225.9799999999996</v>
      </c>
      <c r="F82" s="71"/>
      <c r="J82" s="70">
        <f>+E82</f>
        <v>-5225.9799999999996</v>
      </c>
    </row>
    <row r="83" spans="2:12" ht="25.5" x14ac:dyDescent="0.2">
      <c r="B83" s="69">
        <v>42095</v>
      </c>
      <c r="C83" s="69">
        <v>42095</v>
      </c>
      <c r="D83" s="127" t="s">
        <v>193</v>
      </c>
      <c r="E83" s="68">
        <v>-14.39</v>
      </c>
      <c r="F83" s="71"/>
      <c r="H83">
        <f>+E83</f>
        <v>-14.39</v>
      </c>
    </row>
    <row r="84" spans="2:12" x14ac:dyDescent="0.2">
      <c r="B84" s="69">
        <v>42096</v>
      </c>
      <c r="C84" s="69">
        <v>42102</v>
      </c>
      <c r="D84" s="127" t="s">
        <v>194</v>
      </c>
      <c r="E84" s="71">
        <v>-4223.9799999999996</v>
      </c>
      <c r="F84" s="71"/>
      <c r="J84" s="70">
        <f>+E84</f>
        <v>-4223.9799999999996</v>
      </c>
    </row>
    <row r="85" spans="2:12" x14ac:dyDescent="0.2">
      <c r="B85" s="69">
        <v>42096</v>
      </c>
      <c r="C85" s="69">
        <v>42102</v>
      </c>
      <c r="D85" s="127" t="s">
        <v>195</v>
      </c>
      <c r="E85" s="71">
        <v>-4746</v>
      </c>
      <c r="F85" s="71"/>
      <c r="J85" s="70">
        <f>+E85</f>
        <v>-4746</v>
      </c>
    </row>
    <row r="86" spans="2:12" ht="25.5" x14ac:dyDescent="0.2">
      <c r="B86" s="69">
        <v>42096</v>
      </c>
      <c r="C86" s="69">
        <v>42102</v>
      </c>
      <c r="D86" s="127" t="s">
        <v>196</v>
      </c>
      <c r="E86" s="71">
        <v>-4912.3999999999996</v>
      </c>
      <c r="F86" s="71"/>
      <c r="J86" s="70">
        <f>+E86</f>
        <v>-4912.3999999999996</v>
      </c>
    </row>
    <row r="87" spans="2:12" x14ac:dyDescent="0.2">
      <c r="B87" s="69">
        <v>42096</v>
      </c>
      <c r="C87" s="69">
        <v>42102</v>
      </c>
      <c r="D87" s="127" t="s">
        <v>197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27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27"/>
      <c r="E89" s="71"/>
      <c r="F89" s="71"/>
      <c r="J89" s="70"/>
    </row>
    <row r="90" spans="2:12" x14ac:dyDescent="0.2">
      <c r="B90" s="201" t="s">
        <v>351</v>
      </c>
      <c r="C90" s="201"/>
      <c r="D90" s="201"/>
      <c r="E90" s="68" t="s">
        <v>199</v>
      </c>
      <c r="F90" s="71">
        <f>+F41+L88</f>
        <v>348.35000000000127</v>
      </c>
      <c r="H90" s="50" t="s">
        <v>208</v>
      </c>
    </row>
    <row r="91" spans="2:12" x14ac:dyDescent="0.2">
      <c r="B91" s="201" t="s">
        <v>204</v>
      </c>
      <c r="C91" s="201"/>
      <c r="D91" s="201"/>
      <c r="E91" s="201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sqref="A1:XFD1048576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276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104</v>
      </c>
      <c r="G6" s="60" t="s">
        <v>105</v>
      </c>
      <c r="H6" s="73" t="s">
        <v>353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128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130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136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117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118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119</v>
      </c>
      <c r="D21" s="60" t="s">
        <v>14</v>
      </c>
      <c r="E21" s="60" t="s">
        <v>120</v>
      </c>
      <c r="F21" s="60" t="s">
        <v>121</v>
      </c>
      <c r="G21" s="73" t="s">
        <v>354</v>
      </c>
      <c r="H21" s="73" t="s">
        <v>13</v>
      </c>
      <c r="I21" s="73" t="s">
        <v>205</v>
      </c>
      <c r="J21" s="60" t="s">
        <v>286</v>
      </c>
      <c r="K21" s="60"/>
      <c r="L21" s="60"/>
    </row>
    <row r="22" spans="1:13" x14ac:dyDescent="0.2">
      <c r="A22" s="63"/>
      <c r="B22" s="63" t="s">
        <v>107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108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109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112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115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116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117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150</v>
      </c>
    </row>
    <row r="39" spans="1:12" x14ac:dyDescent="0.2">
      <c r="B39" s="50" t="s">
        <v>151</v>
      </c>
    </row>
    <row r="40" spans="1:12" x14ac:dyDescent="0.2">
      <c r="G40" s="50" t="s">
        <v>201</v>
      </c>
    </row>
    <row r="41" spans="1:12" ht="12.75" customHeight="1" x14ac:dyDescent="0.2">
      <c r="B41" s="201" t="s">
        <v>303</v>
      </c>
      <c r="C41" s="201"/>
      <c r="D41" s="201"/>
      <c r="E41" s="201"/>
      <c r="F41" s="68">
        <v>6164.37</v>
      </c>
      <c r="G41" s="50" t="s">
        <v>352</v>
      </c>
      <c r="H41" s="50" t="s">
        <v>147</v>
      </c>
      <c r="I41" s="50" t="s">
        <v>144</v>
      </c>
      <c r="J41" s="50" t="s">
        <v>145</v>
      </c>
      <c r="K41" s="50" t="s">
        <v>203</v>
      </c>
    </row>
    <row r="42" spans="1:12" ht="25.5" hidden="1" x14ac:dyDescent="0.2">
      <c r="B42" s="69">
        <v>41949</v>
      </c>
      <c r="C42" s="69">
        <v>41946</v>
      </c>
      <c r="D42" s="112" t="s">
        <v>152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153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154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155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156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157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158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159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160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161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162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163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164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165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166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167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168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169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170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171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172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173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174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175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176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177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178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179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180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181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182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183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184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185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186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187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188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189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190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191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192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193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194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195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196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197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201" t="s">
        <v>351</v>
      </c>
      <c r="C90" s="201"/>
      <c r="D90" s="201"/>
      <c r="E90" s="68" t="s">
        <v>199</v>
      </c>
      <c r="F90" s="71">
        <f>+F41+L88</f>
        <v>348.35000000000127</v>
      </c>
      <c r="H90" s="50" t="s">
        <v>208</v>
      </c>
    </row>
    <row r="91" spans="2:12" ht="12.75" customHeight="1" x14ac:dyDescent="0.2">
      <c r="B91" s="201" t="s">
        <v>204</v>
      </c>
      <c r="C91" s="201"/>
      <c r="D91" s="201"/>
      <c r="E91" s="201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210</v>
      </c>
    </row>
    <row r="97" spans="2:4" x14ac:dyDescent="0.2">
      <c r="B97" t="s">
        <v>278</v>
      </c>
    </row>
    <row r="99" spans="2:4" x14ac:dyDescent="0.2">
      <c r="C99" t="s">
        <v>279</v>
      </c>
      <c r="D99" t="s">
        <v>0</v>
      </c>
    </row>
    <row r="100" spans="2:4" x14ac:dyDescent="0.2">
      <c r="B100" t="s">
        <v>280</v>
      </c>
      <c r="C100">
        <v>-2000</v>
      </c>
      <c r="D100">
        <f>+-C100</f>
        <v>2000</v>
      </c>
    </row>
    <row r="101" spans="2:4" x14ac:dyDescent="0.2">
      <c r="B101" t="s">
        <v>281</v>
      </c>
      <c r="C101">
        <v>29</v>
      </c>
      <c r="D101">
        <f t="shared" ref="D101:D108" si="3">+-C101</f>
        <v>-29</v>
      </c>
    </row>
    <row r="102" spans="2:4" x14ac:dyDescent="0.2">
      <c r="B102" t="s">
        <v>282</v>
      </c>
      <c r="C102">
        <v>-1250</v>
      </c>
      <c r="D102">
        <f t="shared" si="3"/>
        <v>1250</v>
      </c>
    </row>
    <row r="103" spans="2:4" x14ac:dyDescent="0.2">
      <c r="B103" t="s">
        <v>283</v>
      </c>
      <c r="C103">
        <v>-6250</v>
      </c>
      <c r="D103">
        <f t="shared" si="3"/>
        <v>6250</v>
      </c>
    </row>
    <row r="104" spans="2:4" x14ac:dyDescent="0.2">
      <c r="B104" t="s">
        <v>284</v>
      </c>
      <c r="C104">
        <v>7200</v>
      </c>
      <c r="D104">
        <f t="shared" si="3"/>
        <v>-7200</v>
      </c>
    </row>
    <row r="105" spans="2:4" x14ac:dyDescent="0.2">
      <c r="B105" t="s">
        <v>285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124</v>
      </c>
    </row>
    <row r="3" spans="1:18" x14ac:dyDescent="0.2">
      <c r="A3" s="1" t="s">
        <v>125</v>
      </c>
    </row>
    <row r="4" spans="1:18" x14ac:dyDescent="0.2">
      <c r="N4" s="63"/>
      <c r="O4" s="65" t="s">
        <v>131</v>
      </c>
      <c r="P4" s="65" t="s">
        <v>134</v>
      </c>
      <c r="Q4" s="65" t="s">
        <v>132</v>
      </c>
      <c r="R4" s="65" t="s">
        <v>30</v>
      </c>
    </row>
    <row r="5" spans="1:18" ht="23.25" x14ac:dyDescent="0.35">
      <c r="A5" s="62" t="s">
        <v>123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126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102</v>
      </c>
      <c r="D6" s="60" t="s">
        <v>103</v>
      </c>
      <c r="E6" s="60" t="s">
        <v>34</v>
      </c>
      <c r="F6" s="60" t="s">
        <v>104</v>
      </c>
      <c r="G6" s="60" t="s">
        <v>105</v>
      </c>
      <c r="H6" s="60" t="s">
        <v>106</v>
      </c>
      <c r="I6" s="60"/>
      <c r="J6" s="60"/>
      <c r="K6" s="60"/>
      <c r="L6" s="60"/>
      <c r="N6" s="65" t="s">
        <v>127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107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128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108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135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109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129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110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130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133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113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136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114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118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119</v>
      </c>
      <c r="D21" s="113" t="s">
        <v>14</v>
      </c>
      <c r="E21" s="60" t="s">
        <v>120</v>
      </c>
      <c r="F21" s="60" t="s">
        <v>121</v>
      </c>
      <c r="G21" s="60" t="s">
        <v>122</v>
      </c>
      <c r="H21" s="73" t="s">
        <v>13</v>
      </c>
      <c r="I21" s="73" t="s">
        <v>205</v>
      </c>
      <c r="J21" s="60"/>
      <c r="K21" s="60"/>
      <c r="L21" s="60"/>
    </row>
    <row r="22" spans="1:12" x14ac:dyDescent="0.2">
      <c r="A22" s="63"/>
      <c r="B22" s="63" t="s">
        <v>107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108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109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110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111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112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113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114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115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116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117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118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137</v>
      </c>
    </row>
    <row r="38" spans="1:12" x14ac:dyDescent="0.2">
      <c r="G38" s="50" t="s">
        <v>149</v>
      </c>
      <c r="H38" s="50" t="s">
        <v>139</v>
      </c>
      <c r="I38" s="50" t="s">
        <v>140</v>
      </c>
    </row>
    <row r="39" spans="1:12" x14ac:dyDescent="0.2">
      <c r="B39" s="50" t="s">
        <v>138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141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142</v>
      </c>
      <c r="E42" s="2"/>
      <c r="F42" s="2">
        <f>102.16+133.87+127.03+327.84+12.63+486.65</f>
        <v>1190.1799999999998</v>
      </c>
    </row>
    <row r="43" spans="1:12" x14ac:dyDescent="0.2">
      <c r="B43" s="50" t="s">
        <v>143</v>
      </c>
      <c r="E43" s="2">
        <f>266.61+133.87+50000</f>
        <v>50400.480000000003</v>
      </c>
      <c r="F43" s="2"/>
    </row>
    <row r="44" spans="1:12" x14ac:dyDescent="0.2">
      <c r="B44" s="50" t="s">
        <v>147</v>
      </c>
      <c r="E44" s="2">
        <v>14.4</v>
      </c>
      <c r="F44" s="2"/>
    </row>
    <row r="45" spans="1:12" x14ac:dyDescent="0.2">
      <c r="B45" s="50" t="s">
        <v>144</v>
      </c>
      <c r="E45" s="2"/>
      <c r="F45" s="2">
        <v>68559.34</v>
      </c>
    </row>
    <row r="46" spans="1:12" x14ac:dyDescent="0.2">
      <c r="B46" s="50" t="s">
        <v>145</v>
      </c>
      <c r="E46" s="2">
        <f>9999.8+9999.01</f>
        <v>19998.809999999998</v>
      </c>
      <c r="F46" s="2"/>
      <c r="H46" s="8"/>
    </row>
    <row r="47" spans="1:12" x14ac:dyDescent="0.2">
      <c r="B47" s="50" t="s">
        <v>146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148</v>
      </c>
      <c r="E50" s="2"/>
      <c r="F50" s="2">
        <f>+F40+F48-E48</f>
        <v>0</v>
      </c>
    </row>
    <row r="53" spans="1:11" ht="20.25" x14ac:dyDescent="0.3">
      <c r="A53" s="104" t="s">
        <v>150</v>
      </c>
    </row>
    <row r="54" spans="1:11" x14ac:dyDescent="0.2">
      <c r="B54" s="50" t="s">
        <v>106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151</v>
      </c>
    </row>
    <row r="57" spans="1:11" x14ac:dyDescent="0.2">
      <c r="G57" s="50" t="s">
        <v>201</v>
      </c>
    </row>
    <row r="58" spans="1:11" ht="12.75" customHeight="1" x14ac:dyDescent="0.2">
      <c r="B58" s="201" t="s">
        <v>200</v>
      </c>
      <c r="C58" s="201"/>
      <c r="D58" s="201"/>
      <c r="E58" s="201"/>
      <c r="F58" s="68">
        <v>0</v>
      </c>
      <c r="G58" s="50" t="s">
        <v>202</v>
      </c>
      <c r="H58" s="50" t="s">
        <v>147</v>
      </c>
      <c r="I58" s="50" t="s">
        <v>144</v>
      </c>
      <c r="J58" s="50" t="s">
        <v>145</v>
      </c>
      <c r="K58" s="50" t="s">
        <v>203</v>
      </c>
    </row>
    <row r="59" spans="1:11" ht="25.5" hidden="1" x14ac:dyDescent="0.2">
      <c r="B59" s="69">
        <v>41949</v>
      </c>
      <c r="C59" s="69">
        <v>41946</v>
      </c>
      <c r="D59" s="67" t="s">
        <v>152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153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154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155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156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157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158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159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160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161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162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163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164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165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166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167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168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169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170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171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172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173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174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175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176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177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178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179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180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181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182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183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184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185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186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187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188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189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190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191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192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193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194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195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196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197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201" t="s">
        <v>198</v>
      </c>
      <c r="C107" s="201"/>
      <c r="D107" s="201"/>
      <c r="E107" s="68" t="s">
        <v>199</v>
      </c>
      <c r="F107" s="71">
        <v>6164.37</v>
      </c>
      <c r="H107" s="50" t="s">
        <v>208</v>
      </c>
    </row>
    <row r="108" spans="2:12" ht="12.75" customHeight="1" x14ac:dyDescent="0.2">
      <c r="B108" s="201" t="s">
        <v>204</v>
      </c>
      <c r="C108" s="201"/>
      <c r="D108" s="201"/>
      <c r="E108" s="201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210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G1" workbookViewId="0">
      <selection activeCell="U10" sqref="U10"/>
    </sheetView>
  </sheetViews>
  <sheetFormatPr defaultRowHeight="12.75" x14ac:dyDescent="0.2"/>
  <cols>
    <col min="2" max="2" width="9.140625" style="7"/>
    <col min="3" max="3" width="11.28515625" bestFit="1" customWidth="1"/>
    <col min="4" max="11" width="11.28515625" customWidth="1"/>
    <col min="12" max="19" width="10.28515625" bestFit="1" customWidth="1"/>
    <col min="20" max="20" width="11.28515625" bestFit="1" customWidth="1"/>
    <col min="21" max="21" width="10.28515625" bestFit="1" customWidth="1"/>
    <col min="22" max="22" width="11.28515625" bestFit="1" customWidth="1"/>
    <col min="23" max="23" width="10.28515625" bestFit="1" customWidth="1"/>
  </cols>
  <sheetData>
    <row r="1" spans="1:23" x14ac:dyDescent="0.2">
      <c r="B1" s="7" t="s">
        <v>46</v>
      </c>
      <c r="C1" s="7"/>
      <c r="D1" s="7">
        <v>2020</v>
      </c>
      <c r="E1" s="7">
        <v>2019</v>
      </c>
      <c r="F1" s="7">
        <v>2018</v>
      </c>
      <c r="G1" s="7">
        <v>2017</v>
      </c>
      <c r="H1" s="7">
        <v>2016</v>
      </c>
      <c r="I1" s="7">
        <v>2015</v>
      </c>
      <c r="J1" s="7">
        <v>2014</v>
      </c>
      <c r="K1" s="7">
        <v>2013</v>
      </c>
      <c r="L1" s="7">
        <v>2012</v>
      </c>
      <c r="M1" s="7">
        <v>2011</v>
      </c>
      <c r="N1" s="7">
        <v>2010</v>
      </c>
      <c r="O1" s="7">
        <v>2009</v>
      </c>
      <c r="P1" s="7">
        <v>2008</v>
      </c>
      <c r="Q1" s="7">
        <v>2007</v>
      </c>
      <c r="R1" s="7">
        <v>2006</v>
      </c>
      <c r="S1" s="7">
        <v>2005</v>
      </c>
      <c r="T1" s="7"/>
      <c r="U1" s="7" t="s">
        <v>287</v>
      </c>
      <c r="V1" s="7" t="s">
        <v>288</v>
      </c>
      <c r="W1" s="7" t="s">
        <v>289</v>
      </c>
    </row>
    <row r="2" spans="1:23" x14ac:dyDescent="0.2">
      <c r="A2" t="s">
        <v>47</v>
      </c>
      <c r="B2" s="7" t="s">
        <v>54</v>
      </c>
      <c r="D2" s="8">
        <f>+'Pension Funds'!J10+'Pension Funds'!J16</f>
        <v>12500</v>
      </c>
      <c r="E2" s="8">
        <f>+'Pension Funds'!N10+'Pension Funds'!N16</f>
        <v>8423.75</v>
      </c>
      <c r="F2" s="8">
        <f>+'Pension Funds'!R10+'Pension Funds'!R16</f>
        <v>8160</v>
      </c>
      <c r="G2">
        <v>8000</v>
      </c>
      <c r="H2" s="2">
        <f>+'Pension Funds'!Z10/0.8</f>
        <v>1562.5</v>
      </c>
      <c r="I2" s="2">
        <v>1562.5</v>
      </c>
      <c r="J2" s="2">
        <f>+'Pension Funds'!AH10+'Pension Funds'!AH16</f>
        <v>150</v>
      </c>
      <c r="K2" s="2">
        <f>+'Pension Funds'!AL10+'Pension Funds'!AL16</f>
        <v>4375</v>
      </c>
      <c r="L2" s="2">
        <v>16500</v>
      </c>
      <c r="M2" s="2">
        <v>33125</v>
      </c>
      <c r="N2" s="2">
        <v>30819</v>
      </c>
      <c r="O2" s="2">
        <v>37500</v>
      </c>
      <c r="P2" s="2">
        <v>29441</v>
      </c>
      <c r="Q2" s="2">
        <v>26102.560000000001</v>
      </c>
      <c r="R2" s="2">
        <v>7351.39</v>
      </c>
      <c r="S2" s="2">
        <v>9482.7999999999993</v>
      </c>
      <c r="T2" s="2">
        <f>SUM(D2:S2)</f>
        <v>235055.5</v>
      </c>
      <c r="U2" s="4">
        <f>+T2*0.2</f>
        <v>47011.100000000006</v>
      </c>
      <c r="V2" s="3">
        <f>+T2-U2</f>
        <v>188044.4</v>
      </c>
      <c r="W2" s="3">
        <f>+T3</f>
        <v>58841.119999999995</v>
      </c>
    </row>
    <row r="3" spans="1:23" x14ac:dyDescent="0.2">
      <c r="B3" s="7" t="s">
        <v>48</v>
      </c>
      <c r="H3" s="2"/>
      <c r="I3" s="2">
        <v>0</v>
      </c>
      <c r="J3" s="2">
        <v>0</v>
      </c>
      <c r="K3" s="2">
        <v>0</v>
      </c>
      <c r="L3" s="2">
        <v>6056.28</v>
      </c>
      <c r="M3" s="2">
        <v>8075.04</v>
      </c>
      <c r="N3" s="2">
        <v>14131.32</v>
      </c>
      <c r="O3" s="2">
        <v>5226</v>
      </c>
      <c r="P3" s="2">
        <v>9579.9500000000007</v>
      </c>
      <c r="Q3" s="2">
        <v>7497.33</v>
      </c>
      <c r="R3" s="2">
        <v>0</v>
      </c>
      <c r="S3" s="2">
        <v>8275.2000000000007</v>
      </c>
      <c r="T3" s="2">
        <f>SUM(D3:S3)</f>
        <v>58841.119999999995</v>
      </c>
      <c r="U3" s="4"/>
      <c r="V3" s="3"/>
      <c r="W3" s="3"/>
    </row>
    <row r="4" spans="1:23" ht="13.5" thickBot="1" x14ac:dyDescent="0.25">
      <c r="B4" s="7" t="s">
        <v>30</v>
      </c>
      <c r="D4" s="5">
        <f t="shared" ref="D4:F4" si="0">SUM(D2:D3)</f>
        <v>12500</v>
      </c>
      <c r="E4" s="5">
        <f t="shared" si="0"/>
        <v>8423.75</v>
      </c>
      <c r="F4" s="5">
        <f t="shared" si="0"/>
        <v>8160</v>
      </c>
      <c r="G4" s="5">
        <f t="shared" ref="G4:K4" si="1">SUM(G2:G3)</f>
        <v>8000</v>
      </c>
      <c r="H4" s="5">
        <f t="shared" si="1"/>
        <v>1562.5</v>
      </c>
      <c r="I4" s="5">
        <f t="shared" si="1"/>
        <v>1562.5</v>
      </c>
      <c r="J4" s="5">
        <f t="shared" si="1"/>
        <v>150</v>
      </c>
      <c r="K4" s="5">
        <f t="shared" si="1"/>
        <v>4375</v>
      </c>
      <c r="L4" s="5">
        <f>SUM(L2:L3)</f>
        <v>22556.28</v>
      </c>
      <c r="M4" s="5">
        <f t="shared" ref="M4:S4" si="2">SUM(M2:M3)</f>
        <v>41200.04</v>
      </c>
      <c r="N4" s="5">
        <f t="shared" si="2"/>
        <v>44950.32</v>
      </c>
      <c r="O4" s="5">
        <f t="shared" si="2"/>
        <v>42726</v>
      </c>
      <c r="P4" s="5">
        <f t="shared" si="2"/>
        <v>39020.949999999997</v>
      </c>
      <c r="Q4" s="5">
        <f t="shared" si="2"/>
        <v>33599.89</v>
      </c>
      <c r="R4" s="5">
        <f t="shared" si="2"/>
        <v>7351.39</v>
      </c>
      <c r="S4" s="5">
        <f t="shared" si="2"/>
        <v>17758</v>
      </c>
      <c r="T4" s="5">
        <f>SUM(T2:T3)</f>
        <v>293896.62</v>
      </c>
      <c r="U4" s="4"/>
      <c r="V4" s="3"/>
      <c r="W4" s="3"/>
    </row>
    <row r="5" spans="1:23" ht="13.5" thickTop="1" x14ac:dyDescent="0.2">
      <c r="A5" s="50" t="s">
        <v>448</v>
      </c>
      <c r="C5" s="2">
        <f>40000-E4</f>
        <v>31576.25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  <c r="V5" s="3"/>
      <c r="W5" s="3"/>
    </row>
    <row r="6" spans="1:23" x14ac:dyDescent="0.2">
      <c r="A6" s="50" t="s">
        <v>449</v>
      </c>
      <c r="C6" s="2">
        <f>40000-F4</f>
        <v>31840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3"/>
      <c r="W6" s="3"/>
    </row>
    <row r="7" spans="1:23" x14ac:dyDescent="0.2">
      <c r="A7" s="50" t="s">
        <v>450</v>
      </c>
      <c r="C7" s="2">
        <f>40000-G4</f>
        <v>32000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  <c r="V7" s="3"/>
      <c r="W7" s="3"/>
    </row>
    <row r="8" spans="1:23" ht="13.5" thickBot="1" x14ac:dyDescent="0.25">
      <c r="C8" s="5">
        <f>SUM(C5:C7)</f>
        <v>95416.25</v>
      </c>
      <c r="D8" s="52"/>
      <c r="E8" s="52"/>
      <c r="F8" s="52"/>
      <c r="G8" s="52"/>
      <c r="H8" s="52"/>
      <c r="I8" s="52"/>
      <c r="J8" s="52"/>
      <c r="K8" s="52"/>
      <c r="L8" s="2"/>
      <c r="M8" s="2"/>
      <c r="N8" s="2"/>
      <c r="O8" s="2"/>
      <c r="P8" s="2"/>
      <c r="Q8" s="2"/>
      <c r="R8" s="2"/>
      <c r="S8" s="2"/>
      <c r="T8" s="2"/>
      <c r="U8" s="4"/>
      <c r="V8" s="3"/>
      <c r="W8" s="3"/>
    </row>
    <row r="9" spans="1:23" ht="13.5" thickTop="1" x14ac:dyDescent="0.2"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 t="s">
        <v>287</v>
      </c>
      <c r="V9" s="7" t="s">
        <v>288</v>
      </c>
      <c r="W9" s="7" t="s">
        <v>289</v>
      </c>
    </row>
    <row r="10" spans="1:23" x14ac:dyDescent="0.2">
      <c r="A10" t="s">
        <v>49</v>
      </c>
      <c r="B10" s="7" t="s">
        <v>54</v>
      </c>
      <c r="D10" s="8">
        <f>+D2</f>
        <v>12500</v>
      </c>
      <c r="E10" s="8">
        <f>+E2</f>
        <v>8423.75</v>
      </c>
      <c r="F10" s="8">
        <f>+F2</f>
        <v>8160</v>
      </c>
      <c r="G10">
        <v>8000</v>
      </c>
      <c r="H10" s="2">
        <f>+'Pension Funds'!Z11/0.8</f>
        <v>7812.5</v>
      </c>
      <c r="I10" s="2">
        <v>8187.5</v>
      </c>
      <c r="J10" s="2">
        <f>+'Pension Funds'!AH11+'Pension Funds'!AH17</f>
        <v>7487.5</v>
      </c>
      <c r="K10" s="2">
        <f>+'Pension Funds'!AL11+'Pension Funds'!AL17</f>
        <v>4375</v>
      </c>
      <c r="L10" s="2">
        <v>9694</v>
      </c>
      <c r="M10" s="2">
        <v>6594</v>
      </c>
      <c r="N10" s="2">
        <v>5590</v>
      </c>
      <c r="O10" s="2">
        <v>3600</v>
      </c>
      <c r="P10" s="2">
        <v>5965</v>
      </c>
      <c r="Q10" s="2">
        <v>3600</v>
      </c>
      <c r="R10" s="2">
        <v>3600</v>
      </c>
      <c r="S10" s="2">
        <v>4564.79</v>
      </c>
      <c r="T10" s="2">
        <f>SUM(D10:S10)</f>
        <v>108154.04</v>
      </c>
      <c r="U10" s="4">
        <f>+T10*0.2</f>
        <v>21630.808000000001</v>
      </c>
      <c r="V10" s="3">
        <f>+T10-U10</f>
        <v>86523.231999999989</v>
      </c>
      <c r="W10" s="3">
        <f>+T11</f>
        <v>11821</v>
      </c>
    </row>
    <row r="11" spans="1:23" x14ac:dyDescent="0.2">
      <c r="B11" s="7" t="s">
        <v>48</v>
      </c>
      <c r="E11" s="8">
        <f>+'Pension Funds'!N14</f>
        <v>5000</v>
      </c>
      <c r="H11" s="2"/>
      <c r="I11" s="2"/>
      <c r="J11" s="2"/>
      <c r="K11" s="2"/>
      <c r="L11" s="2">
        <v>0</v>
      </c>
      <c r="M11" s="2">
        <v>2000</v>
      </c>
      <c r="N11" s="2">
        <v>0</v>
      </c>
      <c r="O11" s="2">
        <v>0</v>
      </c>
      <c r="P11" s="2">
        <v>0</v>
      </c>
      <c r="Q11" s="2">
        <v>1221</v>
      </c>
      <c r="R11" s="2">
        <v>0</v>
      </c>
      <c r="S11" s="2">
        <v>3600</v>
      </c>
      <c r="T11" s="2">
        <f>SUM(D11:S11)</f>
        <v>11821</v>
      </c>
      <c r="U11" s="4"/>
      <c r="V11" s="3"/>
      <c r="W11" s="3"/>
    </row>
    <row r="12" spans="1:23" ht="13.5" thickBot="1" x14ac:dyDescent="0.25">
      <c r="B12" s="7" t="s">
        <v>30</v>
      </c>
      <c r="D12" s="5">
        <f t="shared" ref="D12:F12" si="3">SUM(D10:D11)</f>
        <v>12500</v>
      </c>
      <c r="E12" s="5">
        <f t="shared" si="3"/>
        <v>13423.75</v>
      </c>
      <c r="F12" s="5">
        <f t="shared" si="3"/>
        <v>8160</v>
      </c>
      <c r="G12" s="5">
        <f>SUM(G10:G11)</f>
        <v>8000</v>
      </c>
      <c r="H12" s="5">
        <f>SUM(H10:H11)</f>
        <v>7812.5</v>
      </c>
      <c r="I12" s="5">
        <f>SUM(I10:I11)</f>
        <v>8187.5</v>
      </c>
      <c r="J12" s="5">
        <f t="shared" ref="J12:K12" si="4">SUM(J10:J11)</f>
        <v>7487.5</v>
      </c>
      <c r="K12" s="5">
        <f t="shared" si="4"/>
        <v>4375</v>
      </c>
      <c r="L12" s="5">
        <f>SUM(L10:L11)</f>
        <v>9694</v>
      </c>
      <c r="M12" s="5">
        <f t="shared" ref="M12:S12" si="5">SUM(M10:M11)</f>
        <v>8594</v>
      </c>
      <c r="N12" s="5">
        <f t="shared" si="5"/>
        <v>5590</v>
      </c>
      <c r="O12" s="5">
        <f t="shared" si="5"/>
        <v>3600</v>
      </c>
      <c r="P12" s="5">
        <f t="shared" si="5"/>
        <v>5965</v>
      </c>
      <c r="Q12" s="5">
        <f t="shared" si="5"/>
        <v>4821</v>
      </c>
      <c r="R12" s="5">
        <f t="shared" si="5"/>
        <v>3600</v>
      </c>
      <c r="S12" s="5">
        <f t="shared" si="5"/>
        <v>8164.79</v>
      </c>
      <c r="T12" s="5">
        <f>SUM(T10:T11)</f>
        <v>119975.03999999999</v>
      </c>
      <c r="U12" s="4"/>
      <c r="V12" s="3"/>
      <c r="W12" s="3"/>
    </row>
    <row r="13" spans="1:23" ht="13.5" thickTop="1" x14ac:dyDescent="0.2"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4"/>
      <c r="V13" s="3"/>
      <c r="W13" s="3"/>
    </row>
    <row r="14" spans="1:23" x14ac:dyDescent="0.2">
      <c r="A14" s="50" t="s">
        <v>448</v>
      </c>
      <c r="C14" s="2">
        <f>40000-E12</f>
        <v>26576.25</v>
      </c>
      <c r="D14" s="8"/>
      <c r="E14" s="8"/>
      <c r="F14" s="8"/>
      <c r="G14" s="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4"/>
      <c r="V14" s="3"/>
      <c r="W14" s="3"/>
    </row>
    <row r="15" spans="1:23" x14ac:dyDescent="0.2">
      <c r="A15" s="50" t="s">
        <v>449</v>
      </c>
      <c r="C15" s="2">
        <f>40000-F12</f>
        <v>31840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  <c r="V15" s="3"/>
      <c r="W15" s="3"/>
    </row>
    <row r="16" spans="1:23" x14ac:dyDescent="0.2">
      <c r="A16" s="50" t="s">
        <v>450</v>
      </c>
      <c r="C16" s="2">
        <f>40000-G12</f>
        <v>32000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3"/>
    </row>
    <row r="17" spans="1:23" ht="13.5" thickBot="1" x14ac:dyDescent="0.25">
      <c r="C17" s="5">
        <f>SUM(C14:C16)</f>
        <v>90416.25</v>
      </c>
      <c r="D17" s="52"/>
      <c r="E17" s="52"/>
      <c r="F17" s="52"/>
      <c r="G17" s="52"/>
      <c r="H17" s="52"/>
      <c r="I17" s="52"/>
      <c r="J17" s="52"/>
      <c r="K17" s="52"/>
      <c r="L17" s="2"/>
      <c r="M17" s="2"/>
      <c r="N17" s="2"/>
      <c r="O17" s="2"/>
      <c r="P17" s="2"/>
      <c r="Q17" s="2"/>
      <c r="R17" s="2"/>
      <c r="S17" s="2"/>
      <c r="T17" s="2"/>
      <c r="U17" s="4"/>
      <c r="V17" s="3"/>
      <c r="W17" s="3"/>
    </row>
    <row r="18" spans="1:23" ht="13.5" thickTop="1" x14ac:dyDescent="0.2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/>
      <c r="V18" s="3"/>
      <c r="W18" s="3"/>
    </row>
    <row r="19" spans="1:23" x14ac:dyDescent="0.2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/>
      <c r="V19" s="3"/>
      <c r="W19" s="3"/>
    </row>
    <row r="20" spans="1:23" x14ac:dyDescent="0.2"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/>
      <c r="V20" s="3"/>
      <c r="W20" s="3"/>
    </row>
    <row r="21" spans="1:23" x14ac:dyDescent="0.2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3"/>
      <c r="W21" s="3"/>
    </row>
    <row r="22" spans="1:23" x14ac:dyDescent="0.2"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s">
        <v>287</v>
      </c>
      <c r="V22" s="7" t="s">
        <v>288</v>
      </c>
      <c r="W22" s="7" t="s">
        <v>289</v>
      </c>
    </row>
    <row r="23" spans="1:23" ht="13.5" thickBot="1" x14ac:dyDescent="0.25">
      <c r="A23" s="1" t="s">
        <v>270</v>
      </c>
      <c r="D23" s="5">
        <f t="shared" ref="D23:F23" si="6">+D12+D4</f>
        <v>25000</v>
      </c>
      <c r="E23" s="5">
        <f t="shared" si="6"/>
        <v>21847.5</v>
      </c>
      <c r="F23" s="5">
        <f t="shared" si="6"/>
        <v>16320</v>
      </c>
      <c r="G23" s="5">
        <f t="shared" ref="G23:S23" si="7">+G12+G4</f>
        <v>16000</v>
      </c>
      <c r="H23" s="5">
        <f t="shared" si="7"/>
        <v>9375</v>
      </c>
      <c r="I23" s="5">
        <f t="shared" si="7"/>
        <v>9750</v>
      </c>
      <c r="J23" s="5">
        <f t="shared" si="7"/>
        <v>7637.5</v>
      </c>
      <c r="K23" s="5">
        <f t="shared" si="7"/>
        <v>8750</v>
      </c>
      <c r="L23" s="5">
        <f t="shared" si="7"/>
        <v>32250.28</v>
      </c>
      <c r="M23" s="5">
        <f t="shared" si="7"/>
        <v>49794.04</v>
      </c>
      <c r="N23" s="5">
        <f t="shared" si="7"/>
        <v>50540.32</v>
      </c>
      <c r="O23" s="5">
        <f t="shared" si="7"/>
        <v>46326</v>
      </c>
      <c r="P23" s="5">
        <f t="shared" si="7"/>
        <v>44985.95</v>
      </c>
      <c r="Q23" s="5">
        <f t="shared" si="7"/>
        <v>38420.89</v>
      </c>
      <c r="R23" s="5">
        <f t="shared" si="7"/>
        <v>10951.39</v>
      </c>
      <c r="S23" s="5">
        <f t="shared" si="7"/>
        <v>25922.79</v>
      </c>
      <c r="T23" s="5">
        <f>+T12+T4</f>
        <v>413871.66</v>
      </c>
      <c r="U23" s="115">
        <f>+U10+U2</f>
        <v>68641.90800000001</v>
      </c>
      <c r="V23" s="3">
        <f>+V2+V10</f>
        <v>274567.63199999998</v>
      </c>
      <c r="W23" s="3">
        <f>+W2+W10</f>
        <v>70662.12</v>
      </c>
    </row>
    <row r="24" spans="1:23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60</v>
      </c>
      <c r="B2" s="56" t="s">
        <v>61</v>
      </c>
      <c r="C2" s="56" t="s">
        <v>62</v>
      </c>
      <c r="D2" s="56" t="s">
        <v>63</v>
      </c>
    </row>
    <row r="3" spans="1:6" ht="12.75" customHeight="1" x14ac:dyDescent="0.2">
      <c r="A3" s="204" t="s">
        <v>64</v>
      </c>
      <c r="B3" s="203" t="s">
        <v>65</v>
      </c>
      <c r="C3" s="203">
        <v>0.35909999999999997</v>
      </c>
      <c r="D3" s="202">
        <v>20000</v>
      </c>
    </row>
    <row r="4" spans="1:6" x14ac:dyDescent="0.2">
      <c r="A4" s="204"/>
      <c r="B4" s="203"/>
      <c r="C4" s="203"/>
      <c r="D4" s="202"/>
    </row>
    <row r="5" spans="1:6" x14ac:dyDescent="0.2">
      <c r="A5" s="204"/>
      <c r="B5" s="203"/>
      <c r="C5" s="203"/>
      <c r="D5" s="202"/>
      <c r="E5" s="74">
        <f>+(C3*D3)/1.4</f>
        <v>5130</v>
      </c>
      <c r="F5" t="s">
        <v>94</v>
      </c>
    </row>
    <row r="6" spans="1:6" x14ac:dyDescent="0.2">
      <c r="A6" s="204"/>
      <c r="B6" s="203"/>
      <c r="C6" s="203"/>
      <c r="D6" s="202"/>
    </row>
    <row r="7" spans="1:6" x14ac:dyDescent="0.2">
      <c r="A7" s="204"/>
      <c r="B7" s="203"/>
      <c r="C7" s="203"/>
      <c r="D7" s="202"/>
    </row>
    <row r="8" spans="1:6" ht="12.75" customHeight="1" x14ac:dyDescent="0.2">
      <c r="A8" s="204" t="s">
        <v>66</v>
      </c>
      <c r="B8" s="203" t="s">
        <v>67</v>
      </c>
      <c r="C8" s="203">
        <v>52.16</v>
      </c>
      <c r="D8" s="202">
        <v>23831</v>
      </c>
    </row>
    <row r="9" spans="1:6" x14ac:dyDescent="0.2">
      <c r="A9" s="204"/>
      <c r="B9" s="203"/>
      <c r="C9" s="203"/>
      <c r="D9" s="202"/>
    </row>
    <row r="10" spans="1:6" x14ac:dyDescent="0.2">
      <c r="A10" s="204"/>
      <c r="B10" s="203"/>
      <c r="C10" s="203"/>
      <c r="D10" s="202"/>
      <c r="E10" s="74">
        <f>+C8*D8/100</f>
        <v>12430.249599999999</v>
      </c>
    </row>
    <row r="11" spans="1:6" x14ac:dyDescent="0.2">
      <c r="A11" s="204"/>
      <c r="B11" s="203"/>
      <c r="C11" s="203"/>
      <c r="D11" s="202"/>
    </row>
    <row r="12" spans="1:6" x14ac:dyDescent="0.2">
      <c r="A12" s="204"/>
      <c r="B12" s="203"/>
      <c r="C12" s="203"/>
      <c r="D12" s="202"/>
    </row>
    <row r="13" spans="1:6" ht="12.75" customHeight="1" x14ac:dyDescent="0.2">
      <c r="A13" s="204" t="s">
        <v>68</v>
      </c>
      <c r="B13" s="203" t="s">
        <v>69</v>
      </c>
      <c r="C13" s="203">
        <v>1.8478619999999999</v>
      </c>
      <c r="D13" s="202">
        <v>541166</v>
      </c>
    </row>
    <row r="14" spans="1:6" x14ac:dyDescent="0.2">
      <c r="A14" s="204"/>
      <c r="B14" s="203"/>
      <c r="C14" s="203"/>
      <c r="D14" s="202"/>
    </row>
    <row r="15" spans="1:6" x14ac:dyDescent="0.2">
      <c r="A15" s="204"/>
      <c r="B15" s="203"/>
      <c r="C15" s="203"/>
      <c r="D15" s="202"/>
      <c r="E15" s="74">
        <f>+C13*D13/100</f>
        <v>10000.000870919999</v>
      </c>
    </row>
    <row r="16" spans="1:6" x14ac:dyDescent="0.2">
      <c r="A16" s="204"/>
      <c r="B16" s="203"/>
      <c r="C16" s="203"/>
      <c r="D16" s="202"/>
    </row>
    <row r="17" spans="1:5" x14ac:dyDescent="0.2">
      <c r="A17" s="204"/>
      <c r="B17" s="203"/>
      <c r="C17" s="203"/>
      <c r="D17" s="202"/>
    </row>
    <row r="18" spans="1:5" ht="12.75" customHeight="1" x14ac:dyDescent="0.2">
      <c r="A18" s="204" t="s">
        <v>70</v>
      </c>
      <c r="B18" s="203" t="s">
        <v>71</v>
      </c>
      <c r="C18" s="203">
        <v>212.953</v>
      </c>
      <c r="D18" s="202">
        <v>4000</v>
      </c>
    </row>
    <row r="19" spans="1:5" x14ac:dyDescent="0.2">
      <c r="A19" s="204"/>
      <c r="B19" s="203"/>
      <c r="C19" s="203"/>
      <c r="D19" s="202"/>
    </row>
    <row r="20" spans="1:5" x14ac:dyDescent="0.2">
      <c r="A20" s="204"/>
      <c r="B20" s="203"/>
      <c r="C20" s="203"/>
      <c r="D20" s="202"/>
      <c r="E20" s="74">
        <f>+C18*D18/100</f>
        <v>8518.1200000000008</v>
      </c>
    </row>
    <row r="21" spans="1:5" x14ac:dyDescent="0.2">
      <c r="A21" s="204"/>
      <c r="B21" s="203"/>
      <c r="C21" s="203"/>
      <c r="D21" s="202"/>
    </row>
    <row r="22" spans="1:5" x14ac:dyDescent="0.2">
      <c r="A22" s="204"/>
      <c r="B22" s="203"/>
      <c r="C22" s="203"/>
      <c r="D22" s="202"/>
    </row>
    <row r="23" spans="1:5" ht="12.75" customHeight="1" x14ac:dyDescent="0.2">
      <c r="A23" s="204" t="s">
        <v>72</v>
      </c>
      <c r="B23" s="203" t="s">
        <v>73</v>
      </c>
      <c r="C23" s="205">
        <v>1217.5</v>
      </c>
      <c r="D23" s="203">
        <v>800</v>
      </c>
    </row>
    <row r="24" spans="1:5" x14ac:dyDescent="0.2">
      <c r="A24" s="204"/>
      <c r="B24" s="203"/>
      <c r="C24" s="205"/>
      <c r="D24" s="203"/>
    </row>
    <row r="25" spans="1:5" x14ac:dyDescent="0.2">
      <c r="A25" s="204"/>
      <c r="B25" s="203"/>
      <c r="C25" s="205"/>
      <c r="D25" s="203"/>
      <c r="E25" s="74">
        <f>+C23*D23/100</f>
        <v>9740</v>
      </c>
    </row>
    <row r="26" spans="1:5" x14ac:dyDescent="0.2">
      <c r="A26" s="204"/>
      <c r="B26" s="203"/>
      <c r="C26" s="205"/>
      <c r="D26" s="203"/>
    </row>
    <row r="27" spans="1:5" x14ac:dyDescent="0.2">
      <c r="A27" s="204"/>
      <c r="B27" s="203"/>
      <c r="C27" s="205"/>
      <c r="D27" s="203"/>
    </row>
    <row r="28" spans="1:5" ht="12.75" customHeight="1" x14ac:dyDescent="0.2">
      <c r="A28" s="204" t="s">
        <v>74</v>
      </c>
      <c r="B28" s="203" t="s">
        <v>75</v>
      </c>
      <c r="C28" s="203">
        <v>0.40891899999999998</v>
      </c>
      <c r="D28" s="202">
        <v>2445473</v>
      </c>
    </row>
    <row r="29" spans="1:5" x14ac:dyDescent="0.2">
      <c r="A29" s="204"/>
      <c r="B29" s="203"/>
      <c r="C29" s="203"/>
      <c r="D29" s="202"/>
    </row>
    <row r="30" spans="1:5" x14ac:dyDescent="0.2">
      <c r="A30" s="204"/>
      <c r="B30" s="203"/>
      <c r="C30" s="203"/>
      <c r="D30" s="202"/>
      <c r="E30" s="74">
        <f>+C28*D28/100</f>
        <v>10000.00373687</v>
      </c>
    </row>
    <row r="31" spans="1:5" x14ac:dyDescent="0.2">
      <c r="A31" s="204"/>
      <c r="B31" s="203"/>
      <c r="C31" s="203"/>
      <c r="D31" s="202"/>
    </row>
    <row r="32" spans="1:5" x14ac:dyDescent="0.2">
      <c r="A32" s="204"/>
      <c r="B32" s="203"/>
      <c r="C32" s="203"/>
      <c r="D32" s="202"/>
    </row>
    <row r="33" spans="1:5" ht="12.75" customHeight="1" x14ac:dyDescent="0.2">
      <c r="A33" s="204" t="s">
        <v>76</v>
      </c>
      <c r="B33" s="203" t="s">
        <v>77</v>
      </c>
      <c r="C33" s="203">
        <v>260.96033399999999</v>
      </c>
      <c r="D33" s="202">
        <v>1916</v>
      </c>
    </row>
    <row r="34" spans="1:5" x14ac:dyDescent="0.2">
      <c r="A34" s="204"/>
      <c r="B34" s="203"/>
      <c r="C34" s="203"/>
      <c r="D34" s="202"/>
    </row>
    <row r="35" spans="1:5" x14ac:dyDescent="0.2">
      <c r="A35" s="204"/>
      <c r="B35" s="203"/>
      <c r="C35" s="203"/>
      <c r="D35" s="202"/>
      <c r="E35" s="74">
        <f>+C33*D33/100</f>
        <v>4999.9999994399996</v>
      </c>
    </row>
    <row r="36" spans="1:5" x14ac:dyDescent="0.2">
      <c r="A36" s="204"/>
      <c r="B36" s="203"/>
      <c r="C36" s="203"/>
      <c r="D36" s="202"/>
    </row>
    <row r="37" spans="1:5" x14ac:dyDescent="0.2">
      <c r="A37" s="204"/>
      <c r="B37" s="203"/>
      <c r="C37" s="203"/>
      <c r="D37" s="202"/>
    </row>
    <row r="38" spans="1:5" ht="12.75" customHeight="1" x14ac:dyDescent="0.2">
      <c r="A38" s="204" t="s">
        <v>78</v>
      </c>
      <c r="B38" s="203" t="s">
        <v>79</v>
      </c>
      <c r="C38" s="203">
        <v>182.98920200000001</v>
      </c>
      <c r="D38" s="202">
        <v>5464</v>
      </c>
    </row>
    <row r="39" spans="1:5" x14ac:dyDescent="0.2">
      <c r="A39" s="204"/>
      <c r="B39" s="203"/>
      <c r="C39" s="203"/>
      <c r="D39" s="202"/>
    </row>
    <row r="40" spans="1:5" x14ac:dyDescent="0.2">
      <c r="A40" s="204"/>
      <c r="B40" s="203"/>
      <c r="C40" s="203"/>
      <c r="D40" s="202"/>
      <c r="E40" s="74">
        <f>+C38*D38/100</f>
        <v>9998.5299972800003</v>
      </c>
    </row>
    <row r="41" spans="1:5" x14ac:dyDescent="0.2">
      <c r="A41" s="204"/>
      <c r="B41" s="203"/>
      <c r="C41" s="203"/>
      <c r="D41" s="202"/>
    </row>
    <row r="42" spans="1:5" x14ac:dyDescent="0.2">
      <c r="A42" s="204"/>
      <c r="B42" s="203"/>
      <c r="C42" s="203"/>
      <c r="D42" s="202"/>
    </row>
    <row r="43" spans="1:5" ht="12.75" customHeight="1" x14ac:dyDescent="0.2">
      <c r="A43" s="204" t="s">
        <v>80</v>
      </c>
      <c r="B43" s="203" t="s">
        <v>81</v>
      </c>
      <c r="C43" s="203">
        <v>5.6349999999999998</v>
      </c>
      <c r="D43" s="202">
        <v>245016</v>
      </c>
    </row>
    <row r="44" spans="1:5" x14ac:dyDescent="0.2">
      <c r="A44" s="204"/>
      <c r="B44" s="203"/>
      <c r="C44" s="203"/>
      <c r="D44" s="202"/>
    </row>
    <row r="45" spans="1:5" x14ac:dyDescent="0.2">
      <c r="A45" s="204"/>
      <c r="B45" s="203"/>
      <c r="C45" s="203"/>
      <c r="D45" s="202"/>
      <c r="E45" s="74">
        <f>+C43*D43/100</f>
        <v>13806.651599999999</v>
      </c>
    </row>
    <row r="46" spans="1:5" x14ac:dyDescent="0.2">
      <c r="A46" s="204"/>
      <c r="B46" s="203"/>
      <c r="C46" s="203"/>
      <c r="D46" s="202"/>
    </row>
    <row r="47" spans="1:5" x14ac:dyDescent="0.2">
      <c r="A47" s="204"/>
      <c r="B47" s="203"/>
      <c r="C47" s="203"/>
      <c r="D47" s="202"/>
    </row>
    <row r="48" spans="1:5" ht="12.75" customHeight="1" x14ac:dyDescent="0.2">
      <c r="A48" s="204" t="s">
        <v>82</v>
      </c>
      <c r="B48" s="203" t="s">
        <v>83</v>
      </c>
      <c r="C48" s="203">
        <v>1.059353</v>
      </c>
      <c r="D48" s="202">
        <v>1887945</v>
      </c>
    </row>
    <row r="49" spans="1:5" x14ac:dyDescent="0.2">
      <c r="A49" s="204"/>
      <c r="B49" s="203"/>
      <c r="C49" s="203"/>
      <c r="D49" s="202"/>
    </row>
    <row r="50" spans="1:5" x14ac:dyDescent="0.2">
      <c r="A50" s="204"/>
      <c r="B50" s="203"/>
      <c r="C50" s="203"/>
      <c r="D50" s="202"/>
      <c r="E50" s="74">
        <f>+C48*D48/100</f>
        <v>20000.001995850002</v>
      </c>
    </row>
    <row r="51" spans="1:5" x14ac:dyDescent="0.2">
      <c r="A51" s="204"/>
      <c r="B51" s="203"/>
      <c r="C51" s="203"/>
      <c r="D51" s="202"/>
    </row>
    <row r="52" spans="1:5" x14ac:dyDescent="0.2">
      <c r="A52" s="204"/>
      <c r="B52" s="203"/>
      <c r="C52" s="203"/>
      <c r="D52" s="202"/>
    </row>
    <row r="53" spans="1:5" ht="12.75" customHeight="1" x14ac:dyDescent="0.2">
      <c r="A53" s="204" t="s">
        <v>84</v>
      </c>
      <c r="B53" s="203" t="s">
        <v>85</v>
      </c>
      <c r="C53" s="203">
        <v>264.26900000000001</v>
      </c>
      <c r="D53" s="202">
        <v>13111</v>
      </c>
    </row>
    <row r="54" spans="1:5" x14ac:dyDescent="0.2">
      <c r="A54" s="204"/>
      <c r="B54" s="203"/>
      <c r="C54" s="203"/>
      <c r="D54" s="202"/>
    </row>
    <row r="55" spans="1:5" x14ac:dyDescent="0.2">
      <c r="A55" s="204"/>
      <c r="B55" s="203"/>
      <c r="C55" s="203"/>
      <c r="D55" s="202"/>
      <c r="E55" s="74">
        <f>+C53*D53/100</f>
        <v>34648.308590000001</v>
      </c>
    </row>
    <row r="56" spans="1:5" x14ac:dyDescent="0.2">
      <c r="A56" s="204"/>
      <c r="B56" s="203"/>
      <c r="C56" s="203"/>
      <c r="D56" s="202"/>
    </row>
    <row r="57" spans="1:5" x14ac:dyDescent="0.2">
      <c r="A57" s="204"/>
      <c r="B57" s="203"/>
      <c r="C57" s="203"/>
      <c r="D57" s="202"/>
    </row>
    <row r="58" spans="1:5" ht="12.75" customHeight="1" x14ac:dyDescent="0.2">
      <c r="A58" s="204" t="s">
        <v>86</v>
      </c>
      <c r="B58" s="203" t="s">
        <v>87</v>
      </c>
      <c r="C58" s="203">
        <v>223.7</v>
      </c>
      <c r="D58" s="202">
        <v>4000</v>
      </c>
    </row>
    <row r="59" spans="1:5" x14ac:dyDescent="0.2">
      <c r="A59" s="204"/>
      <c r="B59" s="203"/>
      <c r="C59" s="203"/>
      <c r="D59" s="202"/>
    </row>
    <row r="60" spans="1:5" x14ac:dyDescent="0.2">
      <c r="A60" s="204"/>
      <c r="B60" s="203"/>
      <c r="C60" s="203"/>
      <c r="D60" s="202"/>
      <c r="E60" s="74">
        <f>+C58*D58/100</f>
        <v>8948</v>
      </c>
    </row>
    <row r="61" spans="1:5" x14ac:dyDescent="0.2">
      <c r="A61" s="204"/>
      <c r="B61" s="203"/>
      <c r="C61" s="203"/>
      <c r="D61" s="202"/>
    </row>
    <row r="62" spans="1:5" x14ac:dyDescent="0.2">
      <c r="A62" s="204"/>
      <c r="B62" s="203"/>
      <c r="C62" s="203"/>
      <c r="D62" s="202"/>
    </row>
    <row r="63" spans="1:5" ht="12.75" customHeight="1" x14ac:dyDescent="0.2">
      <c r="A63" s="204" t="s">
        <v>88</v>
      </c>
      <c r="B63" s="203" t="s">
        <v>89</v>
      </c>
      <c r="C63" s="203">
        <v>157.84233</v>
      </c>
      <c r="D63" s="202">
        <v>3000</v>
      </c>
    </row>
    <row r="64" spans="1:5" x14ac:dyDescent="0.2">
      <c r="A64" s="204"/>
      <c r="B64" s="203"/>
      <c r="C64" s="203"/>
      <c r="D64" s="202"/>
    </row>
    <row r="65" spans="1:6" x14ac:dyDescent="0.2">
      <c r="A65" s="204"/>
      <c r="B65" s="203"/>
      <c r="C65" s="203"/>
      <c r="D65" s="202"/>
      <c r="E65" s="74">
        <f>+C63*D63/100</f>
        <v>4735.2699000000002</v>
      </c>
    </row>
    <row r="66" spans="1:6" x14ac:dyDescent="0.2">
      <c r="A66" s="204"/>
      <c r="B66" s="203"/>
      <c r="C66" s="203"/>
      <c r="D66" s="202"/>
    </row>
    <row r="67" spans="1:6" x14ac:dyDescent="0.2">
      <c r="A67" s="204"/>
      <c r="B67" s="203"/>
      <c r="C67" s="203"/>
      <c r="D67" s="202"/>
    </row>
    <row r="68" spans="1:6" ht="12.75" customHeight="1" x14ac:dyDescent="0.2">
      <c r="A68" s="204" t="s">
        <v>90</v>
      </c>
      <c r="B68" s="203" t="s">
        <v>91</v>
      </c>
      <c r="C68" s="203">
        <v>91.652428999999998</v>
      </c>
      <c r="D68" s="202">
        <v>27275</v>
      </c>
    </row>
    <row r="69" spans="1:6" x14ac:dyDescent="0.2">
      <c r="A69" s="204"/>
      <c r="B69" s="203"/>
      <c r="C69" s="203"/>
      <c r="D69" s="202"/>
    </row>
    <row r="70" spans="1:6" x14ac:dyDescent="0.2">
      <c r="A70" s="204"/>
      <c r="B70" s="203"/>
      <c r="C70" s="203"/>
      <c r="D70" s="202"/>
      <c r="E70" s="74">
        <f>+C68*D68/100</f>
        <v>24998.200009749999</v>
      </c>
    </row>
    <row r="71" spans="1:6" x14ac:dyDescent="0.2">
      <c r="A71" s="204"/>
      <c r="B71" s="203"/>
      <c r="C71" s="203"/>
      <c r="D71" s="202"/>
    </row>
    <row r="72" spans="1:6" x14ac:dyDescent="0.2">
      <c r="A72" s="204"/>
      <c r="B72" s="203"/>
      <c r="C72" s="203"/>
      <c r="D72" s="202"/>
    </row>
    <row r="73" spans="1:6" ht="12.75" customHeight="1" x14ac:dyDescent="0.2">
      <c r="A73" s="204" t="s">
        <v>92</v>
      </c>
      <c r="B73" s="203" t="s">
        <v>93</v>
      </c>
      <c r="C73" s="203">
        <v>0.21668899999999999</v>
      </c>
      <c r="D73" s="202">
        <v>11537280</v>
      </c>
    </row>
    <row r="74" spans="1:6" x14ac:dyDescent="0.2">
      <c r="A74" s="204"/>
      <c r="B74" s="203"/>
      <c r="C74" s="203"/>
      <c r="D74" s="202"/>
    </row>
    <row r="75" spans="1:6" x14ac:dyDescent="0.2">
      <c r="A75" s="204"/>
      <c r="B75" s="203"/>
      <c r="C75" s="203"/>
      <c r="D75" s="202"/>
      <c r="E75" s="74">
        <f>+C73*D73/100</f>
        <v>25000.016659200002</v>
      </c>
    </row>
    <row r="76" spans="1:6" x14ac:dyDescent="0.2">
      <c r="A76" s="204"/>
      <c r="B76" s="203"/>
      <c r="C76" s="203"/>
      <c r="D76" s="202"/>
    </row>
    <row r="77" spans="1:6" x14ac:dyDescent="0.2">
      <c r="A77" s="204"/>
      <c r="B77" s="203"/>
      <c r="C77" s="203"/>
      <c r="D77" s="202"/>
    </row>
    <row r="78" spans="1:6" x14ac:dyDescent="0.2">
      <c r="A78" t="s">
        <v>95</v>
      </c>
      <c r="C78">
        <f>+E78/D78</f>
        <v>1.5065687690845302E-2</v>
      </c>
      <c r="D78">
        <v>663823</v>
      </c>
      <c r="E78" s="74">
        <v>10000.950000000001</v>
      </c>
      <c r="F78" s="50" t="s">
        <v>209</v>
      </c>
    </row>
    <row r="80" spans="1:6" x14ac:dyDescent="0.2">
      <c r="B80" t="s">
        <v>96</v>
      </c>
      <c r="E80" s="74">
        <f>SUM(E3:E79)</f>
        <v>212954.30295931001</v>
      </c>
    </row>
    <row r="82" spans="2:5" x14ac:dyDescent="0.2">
      <c r="B82" t="s">
        <v>97</v>
      </c>
      <c r="E82" s="74">
        <f>+'Pension Funds'!AD52</f>
        <v>155629.09</v>
      </c>
    </row>
    <row r="85" spans="2:5" ht="13.5" thickBot="1" x14ac:dyDescent="0.25">
      <c r="B85" s="57" t="s">
        <v>98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3:D7"/>
    <mergeCell ref="A8:A12"/>
    <mergeCell ref="B8:B12"/>
    <mergeCell ref="C8:C12"/>
    <mergeCell ref="A3:A7"/>
    <mergeCell ref="B3:B7"/>
    <mergeCell ref="C3:C7"/>
    <mergeCell ref="C13:C17"/>
    <mergeCell ref="D23:D27"/>
    <mergeCell ref="D8:D12"/>
    <mergeCell ref="A13:A17"/>
    <mergeCell ref="B13:B17"/>
    <mergeCell ref="D13:D1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D73:D77"/>
    <mergeCell ref="C73:C77"/>
    <mergeCell ref="D68:D72"/>
    <mergeCell ref="A73:A77"/>
    <mergeCell ref="B73:B7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Pension Funds</vt:lpstr>
      <vt:lpstr>Receipts &amp; Payments 2020</vt:lpstr>
      <vt:lpstr>Receipts &amp; Payments 2019</vt:lpstr>
      <vt:lpstr>Receipts And Payements 2018</vt:lpstr>
      <vt:lpstr>Receipts and payments 2017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Share account 5-4-17</vt:lpstr>
      <vt:lpstr>Share Account 5-4-18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Mike</cp:lastModifiedBy>
  <cp:lastPrinted>2019-05-06T20:33:36Z</cp:lastPrinted>
  <dcterms:created xsi:type="dcterms:W3CDTF">2010-10-15T07:41:57Z</dcterms:created>
  <dcterms:modified xsi:type="dcterms:W3CDTF">2020-05-01T10:29:21Z</dcterms:modified>
</cp:coreProperties>
</file>