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ina Laptop\Desktop\Google Drive Docs\"/>
    </mc:Choice>
  </mc:AlternateContent>
  <bookViews>
    <workbookView xWindow="0" yWindow="0" windowWidth="20400" windowHeight="7755" activeTab="1"/>
  </bookViews>
  <sheets>
    <sheet name="25% withdrawal from pension sch" sheetId="1" r:id="rId1"/>
    <sheet name="Pension withdrawel Sheralee" sheetId="4" r:id="rId2"/>
    <sheet name="Sheet3" sheetId="3" r:id="rId3"/>
  </sheets>
  <definedNames>
    <definedName name="_xlnm.Print_Area" localSheetId="0">'25% withdrawal from pension sch'!$B$1:$T$56</definedName>
    <definedName name="_xlnm.Print_Area" localSheetId="1">'Pension withdrawel Sheralee'!$A$1:$U$63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31" i="4" l="1"/>
  <c r="T24" i="4"/>
  <c r="T25" i="4"/>
  <c r="T26" i="4"/>
  <c r="T27" i="4"/>
  <c r="T28" i="4"/>
  <c r="H62" i="4"/>
  <c r="H28" i="4" l="1"/>
  <c r="H31" i="4"/>
  <c r="N28" i="4"/>
  <c r="N31" i="4" s="1"/>
  <c r="D31" i="4"/>
  <c r="H27" i="4"/>
  <c r="N27" i="4"/>
  <c r="H26" i="4"/>
  <c r="N26" i="4"/>
  <c r="N52" i="3"/>
  <c r="T52" i="3" s="1"/>
  <c r="I52" i="3"/>
  <c r="H52" i="3"/>
  <c r="T51" i="3"/>
  <c r="O51" i="3"/>
  <c r="I51" i="3"/>
  <c r="N49" i="3"/>
  <c r="H49" i="3"/>
  <c r="T49" i="3" s="1"/>
  <c r="O49" i="3" s="1"/>
  <c r="T32" i="3"/>
  <c r="T30" i="3"/>
  <c r="T29" i="3"/>
  <c r="T27" i="3"/>
  <c r="D26" i="3"/>
  <c r="P14" i="3"/>
  <c r="N21" i="3" s="1"/>
  <c r="F14" i="3"/>
  <c r="J14" i="3" s="1"/>
  <c r="F13" i="3"/>
  <c r="T13" i="3" s="1"/>
  <c r="F12" i="3"/>
  <c r="N9" i="3"/>
  <c r="O9" i="3" s="1"/>
  <c r="H9" i="3"/>
  <c r="I9" i="3" s="1"/>
  <c r="N57" i="4"/>
  <c r="T57" i="4" s="1"/>
  <c r="H57" i="4"/>
  <c r="I57" i="4" s="1"/>
  <c r="T56" i="4"/>
  <c r="I56" i="4" s="1"/>
  <c r="O56" i="4"/>
  <c r="N54" i="4"/>
  <c r="H54" i="4"/>
  <c r="T37" i="4"/>
  <c r="T35" i="4"/>
  <c r="T34" i="4"/>
  <c r="T32" i="4"/>
  <c r="H25" i="4"/>
  <c r="H22" i="4"/>
  <c r="H18" i="4"/>
  <c r="J14" i="4"/>
  <c r="H23" i="4" s="1"/>
  <c r="F14" i="4"/>
  <c r="P14" i="4" s="1"/>
  <c r="F12" i="4"/>
  <c r="F13" i="4" s="1"/>
  <c r="T13" i="4" s="1"/>
  <c r="O9" i="4"/>
  <c r="N9" i="4"/>
  <c r="I9" i="4"/>
  <c r="H9" i="4"/>
  <c r="T9" i="4" s="1"/>
  <c r="H19" i="3" l="1"/>
  <c r="H24" i="3"/>
  <c r="H20" i="3"/>
  <c r="H21" i="3"/>
  <c r="T21" i="3" s="1"/>
  <c r="H17" i="3"/>
  <c r="H25" i="3"/>
  <c r="H22" i="3"/>
  <c r="H18" i="3"/>
  <c r="H23" i="3"/>
  <c r="N20" i="3"/>
  <c r="T20" i="3" s="1"/>
  <c r="N24" i="3"/>
  <c r="T14" i="3"/>
  <c r="N19" i="3"/>
  <c r="T19" i="3" s="1"/>
  <c r="N23" i="3"/>
  <c r="T23" i="3" s="1"/>
  <c r="T9" i="3"/>
  <c r="N18" i="3"/>
  <c r="N22" i="3"/>
  <c r="N25" i="3"/>
  <c r="I49" i="3"/>
  <c r="O52" i="3"/>
  <c r="N17" i="3"/>
  <c r="N24" i="4"/>
  <c r="N20" i="4"/>
  <c r="T20" i="4" s="1"/>
  <c r="N21" i="4"/>
  <c r="N17" i="4"/>
  <c r="T14" i="4"/>
  <c r="N25" i="4"/>
  <c r="N22" i="4"/>
  <c r="T22" i="4" s="1"/>
  <c r="N18" i="4"/>
  <c r="T18" i="4" s="1"/>
  <c r="N23" i="4"/>
  <c r="T23" i="4" s="1"/>
  <c r="N19" i="4"/>
  <c r="T54" i="4"/>
  <c r="I54" i="4" s="1"/>
  <c r="H17" i="4"/>
  <c r="H21" i="4"/>
  <c r="O57" i="4"/>
  <c r="H20" i="4"/>
  <c r="H24" i="4"/>
  <c r="H19" i="4"/>
  <c r="D26" i="1"/>
  <c r="N26" i="3" l="1"/>
  <c r="T17" i="3"/>
  <c r="T26" i="3" s="1"/>
  <c r="U28" i="3" s="1"/>
  <c r="T22" i="3"/>
  <c r="T18" i="3"/>
  <c r="H26" i="3"/>
  <c r="T21" i="4"/>
  <c r="T19" i="4"/>
  <c r="O54" i="4"/>
  <c r="T17" i="4"/>
  <c r="N52" i="1"/>
  <c r="H52" i="1"/>
  <c r="I52" i="1" s="1"/>
  <c r="H48" i="3" l="1"/>
  <c r="H28" i="3"/>
  <c r="I28" i="3" s="1"/>
  <c r="U26" i="3"/>
  <c r="I26" i="3"/>
  <c r="H35" i="3"/>
  <c r="H39" i="3" s="1"/>
  <c r="O26" i="3"/>
  <c r="N48" i="3"/>
  <c r="N35" i="3"/>
  <c r="N28" i="3"/>
  <c r="O31" i="4"/>
  <c r="N33" i="4"/>
  <c r="N53" i="4"/>
  <c r="N40" i="4"/>
  <c r="H53" i="4"/>
  <c r="H40" i="4"/>
  <c r="H44" i="4" s="1"/>
  <c r="H33" i="4"/>
  <c r="I33" i="4" s="1"/>
  <c r="I31" i="4"/>
  <c r="U31" i="4"/>
  <c r="U33" i="4"/>
  <c r="T52" i="1"/>
  <c r="O52" i="1" s="1"/>
  <c r="T51" i="1"/>
  <c r="N49" i="1"/>
  <c r="H49" i="1"/>
  <c r="T35" i="3" l="1"/>
  <c r="T39" i="3" s="1"/>
  <c r="N39" i="3"/>
  <c r="O48" i="3"/>
  <c r="N50" i="3"/>
  <c r="T48" i="3"/>
  <c r="T50" i="3" s="1"/>
  <c r="T54" i="3" s="1"/>
  <c r="T55" i="3" s="1"/>
  <c r="T28" i="3"/>
  <c r="O28" i="3"/>
  <c r="H50" i="3"/>
  <c r="I48" i="3"/>
  <c r="N55" i="4"/>
  <c r="T53" i="4"/>
  <c r="T55" i="4" s="1"/>
  <c r="T59" i="4" s="1"/>
  <c r="T60" i="4" s="1"/>
  <c r="O53" i="4"/>
  <c r="T33" i="4"/>
  <c r="O33" i="4"/>
  <c r="N44" i="4"/>
  <c r="T40" i="4"/>
  <c r="T44" i="4" s="1"/>
  <c r="H55" i="4"/>
  <c r="T49" i="1"/>
  <c r="O49" i="1" s="1"/>
  <c r="I51" i="1"/>
  <c r="O51" i="1"/>
  <c r="T32" i="1"/>
  <c r="T30" i="1"/>
  <c r="N9" i="1"/>
  <c r="I53" i="4" l="1"/>
  <c r="I50" i="3"/>
  <c r="H54" i="3"/>
  <c r="S39" i="3"/>
  <c r="U39" i="3"/>
  <c r="N54" i="3"/>
  <c r="U50" i="3"/>
  <c r="O50" i="3"/>
  <c r="U44" i="4"/>
  <c r="S44" i="4"/>
  <c r="H59" i="4"/>
  <c r="I55" i="4"/>
  <c r="U55" i="4"/>
  <c r="N59" i="4"/>
  <c r="O55" i="4"/>
  <c r="I49" i="1"/>
  <c r="T27" i="1"/>
  <c r="T29" i="1"/>
  <c r="F14" i="1"/>
  <c r="J14" i="1" s="1"/>
  <c r="H25" i="1" s="1"/>
  <c r="F12" i="1"/>
  <c r="F13" i="1" s="1"/>
  <c r="T13" i="1" s="1"/>
  <c r="H9" i="1"/>
  <c r="I9" i="1" s="1"/>
  <c r="I60" i="3" l="1"/>
  <c r="H55" i="3"/>
  <c r="I59" i="3"/>
  <c r="U54" i="3"/>
  <c r="N55" i="3"/>
  <c r="O54" i="3"/>
  <c r="I64" i="4"/>
  <c r="U59" i="4"/>
  <c r="I65" i="4"/>
  <c r="H60" i="4"/>
  <c r="N60" i="4"/>
  <c r="O59" i="4"/>
  <c r="H22" i="1"/>
  <c r="H24" i="1"/>
  <c r="T9" i="1"/>
  <c r="O9" i="1"/>
  <c r="P14" i="1"/>
  <c r="N25" i="1" s="1"/>
  <c r="H21" i="1"/>
  <c r="H17" i="1"/>
  <c r="H26" i="1" s="1"/>
  <c r="H23" i="1"/>
  <c r="H20" i="1"/>
  <c r="H18" i="1"/>
  <c r="H19" i="1"/>
  <c r="S55" i="3" l="1"/>
  <c r="I55" i="3"/>
  <c r="O55" i="3"/>
  <c r="U55" i="3"/>
  <c r="I60" i="4"/>
  <c r="S60" i="4"/>
  <c r="O60" i="4"/>
  <c r="U60" i="4"/>
  <c r="T14" i="1"/>
  <c r="N24" i="1"/>
  <c r="N19" i="1"/>
  <c r="T19" i="1" s="1"/>
  <c r="N23" i="1"/>
  <c r="T23" i="1" s="1"/>
  <c r="N20" i="1"/>
  <c r="N17" i="1"/>
  <c r="N21" i="1"/>
  <c r="T21" i="1" s="1"/>
  <c r="N18" i="1"/>
  <c r="T18" i="1" s="1"/>
  <c r="N22" i="1"/>
  <c r="T22" i="1" s="1"/>
  <c r="T20" i="1"/>
  <c r="N26" i="1" l="1"/>
  <c r="H48" i="1"/>
  <c r="H35" i="1"/>
  <c r="H39" i="1" s="1"/>
  <c r="T17" i="1"/>
  <c r="T26" i="1" s="1"/>
  <c r="U28" i="1" s="1"/>
  <c r="H28" i="1"/>
  <c r="H50" i="1" l="1"/>
  <c r="U26" i="1"/>
  <c r="N35" i="1"/>
  <c r="I26" i="1"/>
  <c r="N48" i="1"/>
  <c r="O26" i="1"/>
  <c r="N28" i="1"/>
  <c r="H54" i="1" l="1"/>
  <c r="N39" i="1"/>
  <c r="T35" i="1"/>
  <c r="T39" i="1" s="1"/>
  <c r="T48" i="1"/>
  <c r="N50" i="1"/>
  <c r="O28" i="1"/>
  <c r="T28" i="1"/>
  <c r="I28" i="1"/>
  <c r="U39" i="1" l="1"/>
  <c r="S39" i="1"/>
  <c r="I60" i="1"/>
  <c r="H55" i="1"/>
  <c r="T50" i="1"/>
  <c r="O50" i="1" s="1"/>
  <c r="I48" i="1"/>
  <c r="O48" i="1"/>
  <c r="N54" i="1"/>
  <c r="U50" i="1"/>
  <c r="T54" i="1" l="1"/>
  <c r="O54" i="1" s="1"/>
  <c r="I50" i="1"/>
  <c r="I55" i="1"/>
  <c r="N55" i="1"/>
  <c r="S55" i="1" s="1"/>
  <c r="U54" i="1"/>
  <c r="U55" i="1" l="1"/>
  <c r="O55" i="1"/>
  <c r="T55" i="1"/>
  <c r="I59" i="1"/>
</calcChain>
</file>

<file path=xl/sharedStrings.xml><?xml version="1.0" encoding="utf-8"?>
<sst xmlns="http://schemas.openxmlformats.org/spreadsheetml/2006/main" count="91" uniqueCount="26">
  <si>
    <t>The Class Technology Pension Scheme</t>
  </si>
  <si>
    <t>£</t>
  </si>
  <si>
    <t>SG</t>
  </si>
  <si>
    <t>NG</t>
  </si>
  <si>
    <t xml:space="preserve">Initial amounts transferred </t>
  </si>
  <si>
    <t>Company Valuation</t>
  </si>
  <si>
    <t>%</t>
  </si>
  <si>
    <t>Shares purchased 6000</t>
  </si>
  <si>
    <t>Valuation per share</t>
  </si>
  <si>
    <t>Valuation of shares purchased</t>
  </si>
  <si>
    <t>Say</t>
  </si>
  <si>
    <t>Number of shares purchased</t>
  </si>
  <si>
    <t>No Shares</t>
  </si>
  <si>
    <t>Dividends</t>
  </si>
  <si>
    <t>Preference shares</t>
  </si>
  <si>
    <t>Total initial cash plus ord share divi</t>
  </si>
  <si>
    <t>Total funds (Cash)in pension scheme</t>
  </si>
  <si>
    <t>Total value with share revaluation of £6,000,000</t>
  </si>
  <si>
    <t>Total value in Pension Pot at cost (cash and shares at cost)</t>
  </si>
  <si>
    <t>Dividends recd</t>
  </si>
  <si>
    <t xml:space="preserve">Share valuation </t>
  </si>
  <si>
    <t>Pref divs</t>
  </si>
  <si>
    <t>25% withdrawal</t>
  </si>
  <si>
    <t>Divi's</t>
  </si>
  <si>
    <t>dividends for the period to 31/12/2017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</si>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</sst>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%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9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2" fontId="2" fillId="0" borderId="0" xfId="0" applyNumberFormat="1" applyFont="1"/>
    <xf numFmtId="0" fontId="3" fillId="0" borderId="0" xfId="0" applyFont="1"/>
    <xf numFmtId="2" fontId="3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2" fontId="5" fillId="0" borderId="0" xfId="0" applyNumberFormat="1" applyFont="1"/>
    <xf numFmtId="2" fontId="0" fillId="0" borderId="0" xfId="0" applyNumberFormat="1" applyFont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9" fontId="5" fillId="0" borderId="0" xfId="0" applyNumberFormat="1" applyFont="1"/>
    <xf numFmtId="14" fontId="5" fillId="0" borderId="0" xfId="0" applyNumberFormat="1" applyFont="1"/>
    <xf numFmtId="0" fontId="5" fillId="0" borderId="0" xfId="0" applyFont="1" applyFill="1"/>
    <xf numFmtId="9" fontId="6" fillId="0" borderId="0" xfId="0" applyNumberFormat="1" applyFont="1"/>
    <xf numFmtId="2" fontId="5" fillId="2" borderId="0" xfId="0" applyNumberFormat="1" applyFont="1" applyFill="1"/>
    <xf numFmtId="0" fontId="4" fillId="0" borderId="0" xfId="0" applyFont="1"/>
    <xf numFmtId="14" fontId="5" fillId="2" borderId="0" xfId="0" applyNumberFormat="1" applyFont="1" applyFill="1"/>
    <xf numFmtId="0" fontId="5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227"/>
  <sheetViews>
    <sheetView topLeftCell="A13" zoomScale="93" zoomScaleNormal="93" workbookViewId="0">
      <selection sqref="A1:U61"/>
    </sheetView>
  </sheetViews>
  <sheetFormatPr defaultRowHeight="15" x14ac:dyDescent="0.25"/>
  <cols>
    <col min="1" max="1" width="7.140625" customWidth="1"/>
    <col min="2" max="2" width="13.28515625" customWidth="1"/>
    <col min="4" max="4" width="16.5703125" customWidth="1"/>
    <col min="5" max="5" width="9.5703125" bestFit="1" customWidth="1"/>
    <col min="6" max="6" width="10.85546875" bestFit="1" customWidth="1"/>
    <col min="7" max="7" width="10.7109375" customWidth="1"/>
    <col min="8" max="8" width="13.5703125" bestFit="1" customWidth="1"/>
    <col min="9" max="9" width="10.5703125" bestFit="1" customWidth="1"/>
    <col min="10" max="10" width="9.5703125" bestFit="1" customWidth="1"/>
    <col min="11" max="11" width="3.28515625" customWidth="1"/>
    <col min="12" max="12" width="2.7109375" customWidth="1"/>
    <col min="13" max="13" width="9.28515625" bestFit="1" customWidth="1"/>
    <col min="14" max="14" width="12" bestFit="1" customWidth="1"/>
    <col min="15" max="15" width="9.28515625" bestFit="1" customWidth="1"/>
    <col min="16" max="16" width="9.5703125" bestFit="1" customWidth="1"/>
    <col min="17" max="17" width="6.28515625" customWidth="1"/>
    <col min="18" max="18" width="3.42578125" customWidth="1"/>
    <col min="19" max="19" width="11.7109375" customWidth="1"/>
    <col min="20" max="21" width="13.5703125" bestFit="1" customWidth="1"/>
  </cols>
  <sheetData>
    <row r="1" spans="2:32" x14ac:dyDescent="0.25">
      <c r="B1" s="12"/>
      <c r="C1" s="12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2:32" x14ac:dyDescent="0.25">
      <c r="B2" s="12"/>
      <c r="C2" s="1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x14ac:dyDescent="0.25">
      <c r="B3" s="12"/>
      <c r="C3" s="13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2:32" x14ac:dyDescent="0.25">
      <c r="B4" s="12"/>
      <c r="C4" s="12"/>
      <c r="D4" s="10"/>
      <c r="E4" s="10"/>
      <c r="F4" s="10"/>
      <c r="G4" s="10"/>
      <c r="H4" s="14" t="s">
        <v>3</v>
      </c>
      <c r="I4" s="10"/>
      <c r="J4" s="10"/>
      <c r="K4" s="10"/>
      <c r="L4" s="10"/>
      <c r="M4" s="10"/>
      <c r="N4" s="14" t="s">
        <v>2</v>
      </c>
      <c r="O4" s="10"/>
      <c r="P4" s="10"/>
      <c r="Q4" s="10" t="s">
        <v>5</v>
      </c>
      <c r="R4" s="10"/>
      <c r="S4" s="10">
        <v>2675000</v>
      </c>
      <c r="T4" s="10"/>
      <c r="U4" s="10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2:32" x14ac:dyDescent="0.25">
      <c r="B5" s="12"/>
      <c r="C5" s="12"/>
      <c r="D5" s="10"/>
      <c r="E5" s="10"/>
      <c r="F5" s="10"/>
      <c r="G5" s="10"/>
      <c r="H5" s="14" t="s">
        <v>1</v>
      </c>
      <c r="I5" s="14" t="s">
        <v>6</v>
      </c>
      <c r="J5" s="14" t="s">
        <v>12</v>
      </c>
      <c r="K5" s="14"/>
      <c r="L5" s="14"/>
      <c r="M5" s="14"/>
      <c r="N5" s="14" t="s">
        <v>1</v>
      </c>
      <c r="O5" s="14" t="s">
        <v>6</v>
      </c>
      <c r="P5" s="14" t="s">
        <v>12</v>
      </c>
      <c r="Q5" s="10"/>
      <c r="R5" s="10"/>
      <c r="S5" s="10"/>
      <c r="T5" s="10"/>
      <c r="U5" s="10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2:32" x14ac:dyDescent="0.25">
      <c r="B6" s="12"/>
      <c r="C6" s="12" t="s">
        <v>4</v>
      </c>
      <c r="D6" s="10"/>
      <c r="E6" s="10"/>
      <c r="F6" s="10"/>
      <c r="G6" s="10">
        <v>180372.51</v>
      </c>
      <c r="H6" s="10"/>
      <c r="I6" s="10"/>
      <c r="J6" s="10"/>
      <c r="K6" s="10"/>
      <c r="L6" s="10"/>
      <c r="M6" s="10">
        <v>50000</v>
      </c>
      <c r="N6" s="10"/>
      <c r="O6" s="10"/>
      <c r="P6" s="10"/>
      <c r="Q6" s="10"/>
      <c r="R6" s="10"/>
      <c r="S6" s="10"/>
      <c r="T6" s="10"/>
      <c r="U6" s="10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2:32" x14ac:dyDescent="0.25">
      <c r="B7" s="12"/>
      <c r="C7" s="12"/>
      <c r="D7" s="10"/>
      <c r="E7" s="10"/>
      <c r="F7" s="10"/>
      <c r="G7" s="10">
        <v>11333.2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2:32" x14ac:dyDescent="0.25">
      <c r="B8" s="12"/>
      <c r="C8" s="12"/>
      <c r="D8" s="10"/>
      <c r="E8" s="10"/>
      <c r="F8" s="10"/>
      <c r="G8" s="10">
        <v>50000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2:32" x14ac:dyDescent="0.25">
      <c r="B9" s="12"/>
      <c r="C9" s="12"/>
      <c r="D9" s="10"/>
      <c r="E9" s="10"/>
      <c r="F9" s="10"/>
      <c r="G9" s="10">
        <v>37702.019999999997</v>
      </c>
      <c r="H9" s="10">
        <f>SUM(G6:G9)</f>
        <v>279407.73000000004</v>
      </c>
      <c r="I9" s="10">
        <f>+H9/(N9+H9)*100</f>
        <v>84.821242658756063</v>
      </c>
      <c r="J9" s="10"/>
      <c r="K9" s="10"/>
      <c r="L9" s="10"/>
      <c r="M9" s="10"/>
      <c r="N9" s="10">
        <f>+M6</f>
        <v>50000</v>
      </c>
      <c r="O9" s="10">
        <f>+N9/(H9+N9)*100</f>
        <v>15.178757341243934</v>
      </c>
      <c r="P9" s="10"/>
      <c r="Q9" s="10"/>
      <c r="R9" s="10"/>
      <c r="S9" s="10"/>
      <c r="T9" s="10">
        <f>+N9+H9</f>
        <v>329407.73000000004</v>
      </c>
      <c r="U9" s="10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2:32" x14ac:dyDescent="0.25">
      <c r="B10" s="12"/>
      <c r="C10" s="12"/>
      <c r="D10" s="10"/>
      <c r="E10" s="10"/>
      <c r="F10" s="10" t="s">
        <v>10</v>
      </c>
      <c r="G10" s="10"/>
      <c r="H10" s="10"/>
      <c r="I10" s="15">
        <v>0.85</v>
      </c>
      <c r="J10" s="10"/>
      <c r="K10" s="10"/>
      <c r="L10" s="10"/>
      <c r="M10" s="10"/>
      <c r="N10" s="10"/>
      <c r="O10" s="15">
        <v>0.15</v>
      </c>
      <c r="P10" s="10"/>
      <c r="Q10" s="10"/>
      <c r="R10" s="10"/>
      <c r="S10" s="10"/>
      <c r="T10" s="10"/>
      <c r="U10" s="10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2:32" x14ac:dyDescent="0.25">
      <c r="B11" s="12"/>
      <c r="C11" s="12" t="s">
        <v>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2:32" x14ac:dyDescent="0.25">
      <c r="B12" s="12"/>
      <c r="C12" s="12" t="s">
        <v>8</v>
      </c>
      <c r="D12" s="10"/>
      <c r="E12" s="10"/>
      <c r="F12" s="10">
        <f>+S4/50000</f>
        <v>53.5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2:32" x14ac:dyDescent="0.25">
      <c r="B13" s="12"/>
      <c r="C13" s="12" t="s">
        <v>9</v>
      </c>
      <c r="D13" s="10"/>
      <c r="E13" s="10"/>
      <c r="F13" s="10">
        <f>+F12*6000</f>
        <v>321000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+F13</f>
        <v>321000</v>
      </c>
      <c r="U13" s="10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2:32" x14ac:dyDescent="0.25">
      <c r="B14" s="12"/>
      <c r="C14" s="12" t="s">
        <v>11</v>
      </c>
      <c r="D14" s="10"/>
      <c r="E14" s="10"/>
      <c r="F14" s="14">
        <f>321000/53.5</f>
        <v>6000</v>
      </c>
      <c r="G14" s="10"/>
      <c r="H14" s="10"/>
      <c r="I14" s="10"/>
      <c r="J14" s="14">
        <f>+F14*I10</f>
        <v>5100</v>
      </c>
      <c r="K14" s="10"/>
      <c r="L14" s="10"/>
      <c r="M14" s="10"/>
      <c r="N14" s="10"/>
      <c r="O14" s="10"/>
      <c r="P14" s="14">
        <f>+F14*O10</f>
        <v>900</v>
      </c>
      <c r="Q14" s="10"/>
      <c r="R14" s="10"/>
      <c r="S14" s="10"/>
      <c r="T14" s="10">
        <f>+P14+J14</f>
        <v>6000</v>
      </c>
      <c r="U14" s="10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2:32" x14ac:dyDescent="0.25">
      <c r="B15" s="12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2:32" x14ac:dyDescent="0.25">
      <c r="B16" s="12"/>
      <c r="C16" s="12" t="s">
        <v>13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2:32" x14ac:dyDescent="0.25">
      <c r="B17" s="16">
        <v>37971</v>
      </c>
      <c r="C17" s="17">
        <v>1</v>
      </c>
      <c r="D17" s="10">
        <v>16800</v>
      </c>
      <c r="E17" s="10">
        <v>2.8</v>
      </c>
      <c r="F17" s="10"/>
      <c r="G17" s="10"/>
      <c r="H17" s="10">
        <f>+J14*E17</f>
        <v>14280</v>
      </c>
      <c r="I17" s="10"/>
      <c r="J17" s="10"/>
      <c r="K17" s="10"/>
      <c r="L17" s="10"/>
      <c r="M17" s="10"/>
      <c r="N17" s="10">
        <f>+P14*E17</f>
        <v>2520</v>
      </c>
      <c r="O17" s="10"/>
      <c r="P17" s="10"/>
      <c r="Q17" s="10"/>
      <c r="R17" s="10"/>
      <c r="S17" s="10"/>
      <c r="T17" s="10">
        <f>+N17+H17</f>
        <v>16800</v>
      </c>
      <c r="U17" s="10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2:32" x14ac:dyDescent="0.25">
      <c r="B18" s="16">
        <v>38340</v>
      </c>
      <c r="C18" s="17">
        <v>2</v>
      </c>
      <c r="D18" s="10">
        <v>18420</v>
      </c>
      <c r="E18" s="10">
        <v>3.07</v>
      </c>
      <c r="F18" s="10"/>
      <c r="G18" s="10"/>
      <c r="H18" s="10">
        <f t="shared" ref="H18:H25" si="0">+$J$14*E18</f>
        <v>15657</v>
      </c>
      <c r="I18" s="10"/>
      <c r="J18" s="10"/>
      <c r="K18" s="10"/>
      <c r="L18" s="10"/>
      <c r="M18" s="10"/>
      <c r="N18" s="10">
        <f>+$P$14*E18</f>
        <v>2763</v>
      </c>
      <c r="O18" s="10"/>
      <c r="P18" s="10"/>
      <c r="Q18" s="10"/>
      <c r="R18" s="10"/>
      <c r="S18" s="10"/>
      <c r="T18" s="10">
        <f>+N18+H18</f>
        <v>18420</v>
      </c>
      <c r="U18" s="10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2:32" x14ac:dyDescent="0.25">
      <c r="B19" s="16">
        <v>42125</v>
      </c>
      <c r="C19" s="17">
        <v>3</v>
      </c>
      <c r="D19" s="10">
        <v>18000</v>
      </c>
      <c r="E19" s="10">
        <v>3</v>
      </c>
      <c r="F19" s="10"/>
      <c r="G19" s="10"/>
      <c r="H19" s="10">
        <f t="shared" si="0"/>
        <v>15300</v>
      </c>
      <c r="I19" s="10"/>
      <c r="J19" s="10"/>
      <c r="K19" s="10"/>
      <c r="L19" s="10"/>
      <c r="M19" s="10"/>
      <c r="N19" s="10">
        <f t="shared" ref="N19:N25" si="1">+$P$14*E19</f>
        <v>2700</v>
      </c>
      <c r="O19" s="10"/>
      <c r="P19" s="10"/>
      <c r="Q19" s="10"/>
      <c r="R19" s="10"/>
      <c r="S19" s="10"/>
      <c r="T19" s="10">
        <f t="shared" ref="T19:T29" si="2">+N19+H19</f>
        <v>18000</v>
      </c>
      <c r="U19" s="10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2:32" x14ac:dyDescent="0.25">
      <c r="B20" s="16">
        <v>42460</v>
      </c>
      <c r="C20" s="17">
        <v>5</v>
      </c>
      <c r="D20" s="10">
        <v>14460</v>
      </c>
      <c r="E20" s="10">
        <v>2.41</v>
      </c>
      <c r="F20" s="10"/>
      <c r="G20" s="10"/>
      <c r="H20" s="10">
        <f t="shared" si="0"/>
        <v>12291</v>
      </c>
      <c r="I20" s="10"/>
      <c r="J20" s="10"/>
      <c r="K20" s="10"/>
      <c r="L20" s="10"/>
      <c r="M20" s="10"/>
      <c r="N20" s="10">
        <f t="shared" si="1"/>
        <v>2169</v>
      </c>
      <c r="O20" s="10"/>
      <c r="P20" s="10"/>
      <c r="Q20" s="10"/>
      <c r="R20" s="10"/>
      <c r="S20" s="10"/>
      <c r="T20" s="10">
        <f t="shared" si="2"/>
        <v>14460</v>
      </c>
      <c r="U20" s="10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2:32" x14ac:dyDescent="0.25">
      <c r="B21" s="16">
        <v>42491</v>
      </c>
      <c r="C21" s="17">
        <v>5</v>
      </c>
      <c r="D21" s="10">
        <v>13620</v>
      </c>
      <c r="E21" s="10">
        <v>2.27</v>
      </c>
      <c r="F21" s="10"/>
      <c r="G21" s="10"/>
      <c r="H21" s="10">
        <f t="shared" si="0"/>
        <v>11577</v>
      </c>
      <c r="I21" s="10"/>
      <c r="J21" s="10"/>
      <c r="K21" s="10"/>
      <c r="L21" s="10"/>
      <c r="M21" s="10"/>
      <c r="N21" s="10">
        <f t="shared" si="1"/>
        <v>2043</v>
      </c>
      <c r="O21" s="10"/>
      <c r="P21" s="10"/>
      <c r="Q21" s="10"/>
      <c r="R21" s="10"/>
      <c r="S21" s="10"/>
      <c r="T21" s="10">
        <f t="shared" si="2"/>
        <v>13620</v>
      </c>
      <c r="U21" s="10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2:32" x14ac:dyDescent="0.25">
      <c r="B22" s="16">
        <v>42467</v>
      </c>
      <c r="C22" s="17">
        <v>4</v>
      </c>
      <c r="D22" s="10">
        <v>21600</v>
      </c>
      <c r="E22" s="10">
        <v>3.6</v>
      </c>
      <c r="F22" s="10"/>
      <c r="G22" s="10"/>
      <c r="H22" s="10">
        <f t="shared" si="0"/>
        <v>18360</v>
      </c>
      <c r="I22" s="10"/>
      <c r="J22" s="10"/>
      <c r="K22" s="10"/>
      <c r="L22" s="10"/>
      <c r="M22" s="10"/>
      <c r="N22" s="10">
        <f t="shared" si="1"/>
        <v>3240</v>
      </c>
      <c r="O22" s="10"/>
      <c r="P22" s="10"/>
      <c r="Q22" s="10"/>
      <c r="R22" s="10"/>
      <c r="S22" s="10"/>
      <c r="T22" s="10">
        <f t="shared" si="2"/>
        <v>21600</v>
      </c>
      <c r="U22" s="10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2:32" x14ac:dyDescent="0.25">
      <c r="B23" s="16">
        <v>42831</v>
      </c>
      <c r="C23" s="17">
        <v>6</v>
      </c>
      <c r="D23" s="10">
        <v>20460</v>
      </c>
      <c r="E23" s="10">
        <v>3.41</v>
      </c>
      <c r="F23" s="10"/>
      <c r="G23" s="10"/>
      <c r="H23" s="10">
        <f t="shared" si="0"/>
        <v>17391</v>
      </c>
      <c r="I23" s="10"/>
      <c r="J23" s="10"/>
      <c r="K23" s="10"/>
      <c r="L23" s="10"/>
      <c r="M23" s="10"/>
      <c r="N23" s="10">
        <f t="shared" si="1"/>
        <v>3069</v>
      </c>
      <c r="O23" s="10"/>
      <c r="P23" s="10"/>
      <c r="Q23" s="10"/>
      <c r="R23" s="10"/>
      <c r="S23" s="10"/>
      <c r="T23" s="10">
        <f t="shared" si="2"/>
        <v>20460</v>
      </c>
      <c r="U23" s="10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2:32" x14ac:dyDescent="0.25">
      <c r="B24" s="16">
        <v>43251</v>
      </c>
      <c r="C24" s="17">
        <v>7</v>
      </c>
      <c r="D24" s="10">
        <v>10920</v>
      </c>
      <c r="E24" s="10">
        <v>1.82</v>
      </c>
      <c r="F24" s="10"/>
      <c r="G24" s="10"/>
      <c r="H24" s="10">
        <f t="shared" si="0"/>
        <v>9282</v>
      </c>
      <c r="I24" s="10"/>
      <c r="J24" s="10"/>
      <c r="K24" s="10"/>
      <c r="L24" s="10"/>
      <c r="M24" s="10"/>
      <c r="N24" s="10">
        <f t="shared" si="1"/>
        <v>1638</v>
      </c>
      <c r="O24" s="10"/>
      <c r="P24" s="10"/>
      <c r="Q24" s="10"/>
      <c r="R24" s="10"/>
      <c r="S24" s="10"/>
      <c r="T24" s="10"/>
      <c r="U24" s="10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2:32" x14ac:dyDescent="0.25">
      <c r="B25" s="16">
        <v>43313</v>
      </c>
      <c r="C25" s="17">
        <v>8</v>
      </c>
      <c r="D25" s="10">
        <v>600</v>
      </c>
      <c r="E25" s="10">
        <v>0.1</v>
      </c>
      <c r="F25" s="10"/>
      <c r="G25" s="10"/>
      <c r="H25" s="10">
        <f t="shared" si="0"/>
        <v>510</v>
      </c>
      <c r="I25" s="10"/>
      <c r="J25" s="10"/>
      <c r="K25" s="10"/>
      <c r="L25" s="10"/>
      <c r="M25" s="10"/>
      <c r="N25" s="10">
        <f t="shared" si="1"/>
        <v>90</v>
      </c>
      <c r="O25" s="10"/>
      <c r="P25" s="10"/>
      <c r="Q25" s="10"/>
      <c r="R25" s="10"/>
      <c r="S25" s="10"/>
      <c r="T25" s="10"/>
      <c r="U25" s="10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2:32" x14ac:dyDescent="0.25">
      <c r="B26" s="16"/>
      <c r="C26" s="12"/>
      <c r="D26" s="14">
        <f>SUM(D17:D25)</f>
        <v>134880</v>
      </c>
      <c r="E26" s="10"/>
      <c r="F26" s="10"/>
      <c r="G26" s="10"/>
      <c r="H26" s="14">
        <f>SUM(H17:H25)</f>
        <v>114648</v>
      </c>
      <c r="I26" s="10">
        <f>+H26/(N26+H26)*100</f>
        <v>85</v>
      </c>
      <c r="J26" s="10"/>
      <c r="K26" s="10"/>
      <c r="L26" s="10"/>
      <c r="M26" s="10"/>
      <c r="N26" s="14">
        <f>SUM(N17:N25)</f>
        <v>20232</v>
      </c>
      <c r="O26" s="10">
        <f>+N26/(H26+N26)*100</f>
        <v>15</v>
      </c>
      <c r="P26" s="10"/>
      <c r="Q26" s="10"/>
      <c r="R26" s="10"/>
      <c r="S26" s="10"/>
      <c r="T26" s="10">
        <f>SUM(T17:T24)</f>
        <v>123360</v>
      </c>
      <c r="U26" s="10">
        <f>+H26+N26</f>
        <v>134880</v>
      </c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2:32" x14ac:dyDescent="0.25">
      <c r="B27" s="12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 t="shared" si="2"/>
        <v>0</v>
      </c>
      <c r="U27" s="10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2:32" s="3" customFormat="1" x14ac:dyDescent="0.25">
      <c r="B28" s="13" t="s">
        <v>15</v>
      </c>
      <c r="C28" s="13"/>
      <c r="D28" s="14"/>
      <c r="E28" s="14"/>
      <c r="F28" s="14"/>
      <c r="G28" s="14"/>
      <c r="H28" s="14">
        <f>+H26+H9</f>
        <v>394055.73000000004</v>
      </c>
      <c r="I28" s="18">
        <f>+H28/(H28+N28)</f>
        <v>0.84873173366007326</v>
      </c>
      <c r="J28" s="14"/>
      <c r="K28" s="14"/>
      <c r="L28" s="14"/>
      <c r="M28" s="14"/>
      <c r="N28" s="14">
        <f>+N26+N9</f>
        <v>70232</v>
      </c>
      <c r="O28" s="18">
        <f>+N28/(H28+N28)</f>
        <v>0.15126826633992674</v>
      </c>
      <c r="P28" s="14"/>
      <c r="Q28" s="14"/>
      <c r="R28" s="14"/>
      <c r="S28" s="14"/>
      <c r="T28" s="14">
        <f t="shared" si="2"/>
        <v>464287.73000000004</v>
      </c>
      <c r="U28" s="14">
        <f>+T9+T26</f>
        <v>452767.73000000004</v>
      </c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2:32" x14ac:dyDescent="0.25">
      <c r="B29" s="12"/>
      <c r="C29" s="1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 t="shared" si="2"/>
        <v>0</v>
      </c>
      <c r="U29" s="10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2:32" x14ac:dyDescent="0.25">
      <c r="B30" s="12"/>
      <c r="C30" s="12" t="s">
        <v>14</v>
      </c>
      <c r="D30" s="10"/>
      <c r="E30" s="10">
        <v>200000</v>
      </c>
      <c r="F30" s="10"/>
      <c r="G30" s="10"/>
      <c r="H30" s="10">
        <v>100000</v>
      </c>
      <c r="I30" s="15">
        <v>0.5</v>
      </c>
      <c r="J30" s="10"/>
      <c r="K30" s="10"/>
      <c r="L30" s="10"/>
      <c r="M30" s="10"/>
      <c r="N30" s="10">
        <v>100000</v>
      </c>
      <c r="O30" s="15">
        <v>0.5</v>
      </c>
      <c r="P30" s="10"/>
      <c r="Q30" s="10"/>
      <c r="R30" s="10"/>
      <c r="S30" s="10"/>
      <c r="T30" s="10">
        <f>+N30+H30</f>
        <v>200000</v>
      </c>
      <c r="U30" s="10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2:32" x14ac:dyDescent="0.25">
      <c r="B31" s="12"/>
      <c r="C31" s="12" t="s">
        <v>13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2:32" x14ac:dyDescent="0.25">
      <c r="B32" s="16">
        <v>42766</v>
      </c>
      <c r="C32" s="12">
        <v>1</v>
      </c>
      <c r="D32" s="10"/>
      <c r="E32" s="10">
        <v>24000</v>
      </c>
      <c r="F32" s="10"/>
      <c r="G32" s="10"/>
      <c r="H32" s="10">
        <v>12000</v>
      </c>
      <c r="I32" s="15">
        <v>0.5</v>
      </c>
      <c r="J32" s="10"/>
      <c r="K32" s="10"/>
      <c r="L32" s="10"/>
      <c r="M32" s="10"/>
      <c r="N32" s="10">
        <v>12000</v>
      </c>
      <c r="O32" s="15">
        <v>0.5</v>
      </c>
      <c r="P32" s="10"/>
      <c r="Q32" s="10"/>
      <c r="R32" s="10"/>
      <c r="S32" s="10"/>
      <c r="T32" s="10">
        <f>+N32+H32</f>
        <v>24000</v>
      </c>
      <c r="U32" s="10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2:32" x14ac:dyDescent="0.25">
      <c r="B33" s="16">
        <v>43252</v>
      </c>
      <c r="C33" s="12" t="s">
        <v>24</v>
      </c>
      <c r="D33" s="10"/>
      <c r="E33" s="10"/>
      <c r="F33" s="19">
        <v>12000</v>
      </c>
      <c r="G33" s="10"/>
      <c r="H33" s="19">
        <v>6000</v>
      </c>
      <c r="I33" s="15">
        <v>0.5</v>
      </c>
      <c r="J33" s="10"/>
      <c r="K33" s="10"/>
      <c r="L33" s="10"/>
      <c r="M33" s="10"/>
      <c r="N33" s="19">
        <v>6000</v>
      </c>
      <c r="O33" s="15">
        <v>0.5</v>
      </c>
      <c r="P33" s="10"/>
      <c r="Q33" s="10"/>
      <c r="R33" s="10"/>
      <c r="S33" s="10"/>
      <c r="T33" s="10"/>
      <c r="U33" s="10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2:32" x14ac:dyDescent="0.25">
      <c r="B34" s="12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2:32" s="3" customFormat="1" x14ac:dyDescent="0.25">
      <c r="B35" s="13" t="s">
        <v>16</v>
      </c>
      <c r="C35" s="13"/>
      <c r="D35" s="14"/>
      <c r="E35" s="14"/>
      <c r="F35" s="14"/>
      <c r="G35" s="14"/>
      <c r="H35" s="14">
        <f>+H32+H30+H26+H33</f>
        <v>232648</v>
      </c>
      <c r="I35" s="14"/>
      <c r="J35" s="14"/>
      <c r="K35" s="14"/>
      <c r="L35" s="14"/>
      <c r="M35" s="14"/>
      <c r="N35" s="14">
        <f>+N32+N30+N26+N33</f>
        <v>138232</v>
      </c>
      <c r="O35" s="14"/>
      <c r="P35" s="14"/>
      <c r="Q35" s="14"/>
      <c r="R35" s="14"/>
      <c r="S35" s="14"/>
      <c r="T35" s="14">
        <f>+N35+H35</f>
        <v>370880</v>
      </c>
      <c r="U35" s="1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2:32" x14ac:dyDescent="0.25">
      <c r="B36" s="12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2:32" x14ac:dyDescent="0.25">
      <c r="B37" s="12"/>
      <c r="C37" s="1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2:32" x14ac:dyDescent="0.25">
      <c r="B38" s="12"/>
      <c r="C38" s="1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2:32" x14ac:dyDescent="0.25">
      <c r="B39" s="12" t="s">
        <v>18</v>
      </c>
      <c r="C39" s="12"/>
      <c r="D39" s="10"/>
      <c r="E39" s="10"/>
      <c r="F39" s="10"/>
      <c r="G39" s="10"/>
      <c r="H39" s="10">
        <f>+H35+H9</f>
        <v>512055.73000000004</v>
      </c>
      <c r="I39" s="10"/>
      <c r="J39" s="10"/>
      <c r="K39" s="10"/>
      <c r="L39" s="10"/>
      <c r="M39" s="10"/>
      <c r="N39" s="10">
        <f>+N35+N9</f>
        <v>188232</v>
      </c>
      <c r="O39" s="10"/>
      <c r="P39" s="10"/>
      <c r="Q39" s="10"/>
      <c r="R39" s="10"/>
      <c r="S39" s="10">
        <f>+N39+H39</f>
        <v>700287.73</v>
      </c>
      <c r="T39" s="10">
        <f>+T35+T9</f>
        <v>700287.73</v>
      </c>
      <c r="U39" s="10">
        <f>+N39+H39</f>
        <v>700287.73</v>
      </c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2:32" x14ac:dyDescent="0.25">
      <c r="B40" s="12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2:32" x14ac:dyDescent="0.25">
      <c r="B41" s="12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2:32" x14ac:dyDescent="0.25">
      <c r="B42" s="12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2:32" x14ac:dyDescent="0.25">
      <c r="B43" s="12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2:32" x14ac:dyDescent="0.25">
      <c r="B44" s="12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2:32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2:32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2:32" x14ac:dyDescent="0.25">
      <c r="B47" t="s">
        <v>17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2:32" x14ac:dyDescent="0.25">
      <c r="B48" t="s">
        <v>19</v>
      </c>
      <c r="D48" s="2"/>
      <c r="E48" s="2" t="s">
        <v>23</v>
      </c>
      <c r="F48" s="2"/>
      <c r="G48" s="2"/>
      <c r="H48" s="2">
        <f>+H26</f>
        <v>114648</v>
      </c>
      <c r="I48" s="1">
        <f>+H48/T48</f>
        <v>0.85</v>
      </c>
      <c r="J48" s="2"/>
      <c r="K48" s="2"/>
      <c r="L48" s="2"/>
      <c r="M48" s="2"/>
      <c r="N48" s="2">
        <f>+N26</f>
        <v>20232</v>
      </c>
      <c r="O48" s="1">
        <f>+N48/T48</f>
        <v>0.15</v>
      </c>
      <c r="P48" s="2"/>
      <c r="Q48" s="2"/>
      <c r="R48" s="2"/>
      <c r="S48" s="2"/>
      <c r="T48" s="2">
        <f>+N48+H48</f>
        <v>134880</v>
      </c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2:32" x14ac:dyDescent="0.25">
      <c r="B49" t="s">
        <v>20</v>
      </c>
      <c r="D49" s="2"/>
      <c r="E49" s="2">
        <v>6000</v>
      </c>
      <c r="F49" s="2">
        <v>104.34</v>
      </c>
      <c r="G49" s="2"/>
      <c r="H49" s="2">
        <f>+E49*F49*0.85</f>
        <v>532134</v>
      </c>
      <c r="I49" s="1">
        <f>+H49/T49</f>
        <v>0.85</v>
      </c>
      <c r="J49" s="2"/>
      <c r="K49" s="2"/>
      <c r="L49" s="2"/>
      <c r="M49" s="2"/>
      <c r="N49" s="2">
        <f>+E49*F49*0.15</f>
        <v>93906</v>
      </c>
      <c r="O49" s="1">
        <f>+N49/T49</f>
        <v>0.15</v>
      </c>
      <c r="P49" s="2"/>
      <c r="Q49" s="2"/>
      <c r="R49" s="2"/>
      <c r="S49" s="2"/>
      <c r="T49" s="2">
        <f>+N49+H49</f>
        <v>626040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2:32" x14ac:dyDescent="0.25">
      <c r="D50" s="2"/>
      <c r="E50" s="2"/>
      <c r="F50" s="2"/>
      <c r="G50" s="2"/>
      <c r="H50" s="2">
        <f>SUM(H48:H49)</f>
        <v>646782</v>
      </c>
      <c r="I50" s="1">
        <f>+H50/T50</f>
        <v>0.85</v>
      </c>
      <c r="J50" s="2"/>
      <c r="K50" s="2"/>
      <c r="L50" s="2"/>
      <c r="M50" s="2"/>
      <c r="N50" s="2">
        <f>+N48+N49</f>
        <v>114138</v>
      </c>
      <c r="O50" s="1">
        <f>+N50/T50</f>
        <v>0.15</v>
      </c>
      <c r="P50" s="2"/>
      <c r="Q50" s="2"/>
      <c r="R50" s="2"/>
      <c r="S50" s="2"/>
      <c r="T50" s="2">
        <f>+T48+T49</f>
        <v>760920</v>
      </c>
      <c r="U50" s="2">
        <f>+N50+H50</f>
        <v>760920</v>
      </c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2:32" x14ac:dyDescent="0.25">
      <c r="B51" t="s">
        <v>14</v>
      </c>
      <c r="D51" s="2"/>
      <c r="E51" s="2"/>
      <c r="F51" s="2"/>
      <c r="G51" s="2"/>
      <c r="H51" s="2">
        <v>100000</v>
      </c>
      <c r="I51" s="1">
        <f>+H51/T51</f>
        <v>0.5</v>
      </c>
      <c r="J51" s="2"/>
      <c r="K51" s="2"/>
      <c r="L51" s="2"/>
      <c r="M51" s="2"/>
      <c r="N51" s="2">
        <v>100000</v>
      </c>
      <c r="O51" s="1">
        <f>+N51/T51</f>
        <v>0.5</v>
      </c>
      <c r="P51" s="2"/>
      <c r="Q51" s="2"/>
      <c r="R51" s="2"/>
      <c r="S51" s="2"/>
      <c r="T51" s="2">
        <f>+N51+H51</f>
        <v>200000</v>
      </c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2:32" x14ac:dyDescent="0.25">
      <c r="B52" t="s">
        <v>21</v>
      </c>
      <c r="D52" s="2"/>
      <c r="E52" s="2"/>
      <c r="F52" s="2"/>
      <c r="G52" s="2"/>
      <c r="H52" s="2">
        <f>+H32+H33</f>
        <v>18000</v>
      </c>
      <c r="I52" s="1">
        <f t="shared" ref="I52" si="3">+H52/N52</f>
        <v>1</v>
      </c>
      <c r="J52" s="2"/>
      <c r="K52" s="2"/>
      <c r="L52" s="2"/>
      <c r="M52" s="2"/>
      <c r="N52" s="2">
        <f>+N32+N33</f>
        <v>18000</v>
      </c>
      <c r="O52" s="1">
        <f>+N52/T52</f>
        <v>0.5</v>
      </c>
      <c r="P52" s="2"/>
      <c r="Q52" s="2"/>
      <c r="R52" s="2"/>
      <c r="S52" s="2"/>
      <c r="T52" s="2">
        <f>+N52+H52</f>
        <v>36000</v>
      </c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2:32" x14ac:dyDescent="0.25">
      <c r="B53" s="1"/>
      <c r="D53" s="2"/>
      <c r="E53" s="2"/>
      <c r="F53" s="2"/>
      <c r="G53" s="2"/>
      <c r="H53" s="2"/>
      <c r="I53" s="1"/>
      <c r="J53" s="2"/>
      <c r="K53" s="2"/>
      <c r="L53" s="2"/>
      <c r="M53" s="2"/>
      <c r="N53" s="2"/>
      <c r="O53" s="1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2:32" x14ac:dyDescent="0.25">
      <c r="D54" s="2"/>
      <c r="E54" s="2"/>
      <c r="F54" s="2"/>
      <c r="G54" s="2"/>
      <c r="H54" s="2">
        <f>SUM(H50:H53)</f>
        <v>764782</v>
      </c>
      <c r="I54" s="1">
        <v>0.77</v>
      </c>
      <c r="J54" s="9"/>
      <c r="K54" s="2"/>
      <c r="L54" s="2"/>
      <c r="M54" s="2"/>
      <c r="N54" s="11">
        <f>SUM(N50:N53)</f>
        <v>232138</v>
      </c>
      <c r="O54" s="1">
        <f>+N54/T54</f>
        <v>0.23285519399751234</v>
      </c>
      <c r="P54" s="2"/>
      <c r="Q54" s="2"/>
      <c r="R54" s="2"/>
      <c r="S54" s="2"/>
      <c r="T54" s="2">
        <f>SUM(T50:T53)</f>
        <v>996920</v>
      </c>
      <c r="U54" s="2">
        <f>+H54+N54</f>
        <v>996920</v>
      </c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2:32" s="6" customFormat="1" ht="18.75" x14ac:dyDescent="0.3">
      <c r="B55" s="6" t="s">
        <v>22</v>
      </c>
      <c r="D55" s="7"/>
      <c r="E55" s="7"/>
      <c r="F55" s="7"/>
      <c r="G55" s="7"/>
      <c r="H55" s="8">
        <f>+H54/4</f>
        <v>191195.5</v>
      </c>
      <c r="I55" s="5">
        <f>+H55/H54*100</f>
        <v>25</v>
      </c>
      <c r="J55" s="8"/>
      <c r="K55" s="8"/>
      <c r="L55" s="8"/>
      <c r="M55" s="8"/>
      <c r="N55" s="8">
        <f>+N54/4</f>
        <v>58034.5</v>
      </c>
      <c r="O55" s="8">
        <f>+N55/N54*100</f>
        <v>25</v>
      </c>
      <c r="P55" s="8"/>
      <c r="Q55" s="8"/>
      <c r="R55" s="8"/>
      <c r="S55" s="8">
        <f>+H55+N55</f>
        <v>249230</v>
      </c>
      <c r="T55" s="8">
        <f>+T54/4</f>
        <v>249230</v>
      </c>
      <c r="U55" s="8">
        <f>+N55+H55</f>
        <v>249230</v>
      </c>
      <c r="V55" s="8"/>
      <c r="W55" s="5"/>
      <c r="X55" s="7"/>
      <c r="Y55" s="7"/>
      <c r="Z55" s="7"/>
      <c r="AA55" s="7"/>
      <c r="AB55" s="7"/>
      <c r="AC55" s="7"/>
      <c r="AD55" s="7"/>
      <c r="AE55" s="7"/>
      <c r="AF55" s="7"/>
    </row>
    <row r="56" spans="2:32" x14ac:dyDescent="0.25"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2"/>
      <c r="Y56" s="2"/>
      <c r="Z56" s="2"/>
      <c r="AA56" s="2"/>
      <c r="AB56" s="2"/>
      <c r="AC56" s="2"/>
      <c r="AD56" s="2"/>
      <c r="AE56" s="2"/>
      <c r="AF56" s="2"/>
    </row>
    <row r="57" spans="2:32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2:32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2:32" x14ac:dyDescent="0.25">
      <c r="D59" s="2"/>
      <c r="E59" s="2"/>
      <c r="F59" s="2"/>
      <c r="G59" s="2"/>
      <c r="H59" s="2"/>
      <c r="I59" s="2">
        <f>+H54/T54*100</f>
        <v>76.714480600248763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2:32" x14ac:dyDescent="0.25">
      <c r="D60" s="2"/>
      <c r="E60" s="2"/>
      <c r="F60" s="2"/>
      <c r="G60" s="2"/>
      <c r="H60" s="2"/>
      <c r="I60" s="2">
        <f>+H54*0.25</f>
        <v>191195.5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2:32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2:32" x14ac:dyDescent="0.25"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2:32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2:32" x14ac:dyDescent="0.25"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4:32" x14ac:dyDescent="0.25"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4:32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4:32" x14ac:dyDescent="0.25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4:32" x14ac:dyDescent="0.25"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4:32" x14ac:dyDescent="0.25"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4:32" x14ac:dyDescent="0.25"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4:32" x14ac:dyDescent="0.25"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4:32" x14ac:dyDescent="0.25"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4:32" x14ac:dyDescent="0.25"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4:32" x14ac:dyDescent="0.25"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4:32" x14ac:dyDescent="0.25"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4:32" x14ac:dyDescent="0.25"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4:32" x14ac:dyDescent="0.25"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4:32" x14ac:dyDescent="0.25"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4:32" x14ac:dyDescent="0.25"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4:32" x14ac:dyDescent="0.25"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4:32" x14ac:dyDescent="0.25"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4:32" x14ac:dyDescent="0.25"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4:32" x14ac:dyDescent="0.25"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4:32" x14ac:dyDescent="0.25"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4:32" x14ac:dyDescent="0.25"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4:32" x14ac:dyDescent="0.25"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4:32" x14ac:dyDescent="0.25"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4:32" x14ac:dyDescent="0.25"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4:32" x14ac:dyDescent="0.25"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4:32" x14ac:dyDescent="0.25"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4:32" x14ac:dyDescent="0.25"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4:32" x14ac:dyDescent="0.25"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4:32" x14ac:dyDescent="0.25"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4:32" x14ac:dyDescent="0.25"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4:32" x14ac:dyDescent="0.25"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4:32" x14ac:dyDescent="0.25"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4:32" x14ac:dyDescent="0.25"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4:32" x14ac:dyDescent="0.25"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4:32" x14ac:dyDescent="0.25"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4:32" x14ac:dyDescent="0.25"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4:32" x14ac:dyDescent="0.25"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4:32" x14ac:dyDescent="0.25"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4:32" x14ac:dyDescent="0.25"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4:32" x14ac:dyDescent="0.25"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4:32" x14ac:dyDescent="0.25"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4:32" x14ac:dyDescent="0.25"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4:32" x14ac:dyDescent="0.25"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4:32" x14ac:dyDescent="0.25"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4:32" x14ac:dyDescent="0.25"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4:32" x14ac:dyDescent="0.25"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4:32" x14ac:dyDescent="0.25"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4:32" x14ac:dyDescent="0.25"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4:32" x14ac:dyDescent="0.25"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4:32" x14ac:dyDescent="0.25"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4:32" x14ac:dyDescent="0.25"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4:32" x14ac:dyDescent="0.25"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4:32" x14ac:dyDescent="0.25"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4:32" x14ac:dyDescent="0.25"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4:32" x14ac:dyDescent="0.25"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4:32" x14ac:dyDescent="0.25"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4:32" x14ac:dyDescent="0.25"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4:32" x14ac:dyDescent="0.25"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4:32" x14ac:dyDescent="0.25"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4:32" x14ac:dyDescent="0.25"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4:32" x14ac:dyDescent="0.25"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4:32" x14ac:dyDescent="0.25"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4:32" x14ac:dyDescent="0.25"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4:32" x14ac:dyDescent="0.25"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4:32" x14ac:dyDescent="0.25"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4:32" x14ac:dyDescent="0.25"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4:32" x14ac:dyDescent="0.25"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4:32" x14ac:dyDescent="0.25"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4:32" x14ac:dyDescent="0.25"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4:32" x14ac:dyDescent="0.25"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4:32" x14ac:dyDescent="0.25"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4:32" x14ac:dyDescent="0.25"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4:32" x14ac:dyDescent="0.25"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4:32" x14ac:dyDescent="0.25"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4:32" x14ac:dyDescent="0.25"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4:32" x14ac:dyDescent="0.25"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4:32" x14ac:dyDescent="0.25"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4:32" x14ac:dyDescent="0.25"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4:32" x14ac:dyDescent="0.25"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4:32" x14ac:dyDescent="0.25"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4:32" x14ac:dyDescent="0.25"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4:32" x14ac:dyDescent="0.25"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4:32" x14ac:dyDescent="0.25"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4:32" x14ac:dyDescent="0.25"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4:32" x14ac:dyDescent="0.25"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4:32" x14ac:dyDescent="0.25"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4:32" x14ac:dyDescent="0.25"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4:32" x14ac:dyDescent="0.25"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4:32" x14ac:dyDescent="0.25"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4:32" x14ac:dyDescent="0.25"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4:32" x14ac:dyDescent="0.25"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4:32" x14ac:dyDescent="0.25"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4:32" x14ac:dyDescent="0.25"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4:32" x14ac:dyDescent="0.25"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4:32" x14ac:dyDescent="0.25"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4:32" x14ac:dyDescent="0.25"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4:32" x14ac:dyDescent="0.25"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4:32" x14ac:dyDescent="0.25"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4:32" x14ac:dyDescent="0.25"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4:32" x14ac:dyDescent="0.25"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4:32" x14ac:dyDescent="0.25"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4:32" x14ac:dyDescent="0.25"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4:32" x14ac:dyDescent="0.25"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4:32" x14ac:dyDescent="0.25"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4:32" x14ac:dyDescent="0.25"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4:32" x14ac:dyDescent="0.25"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4:32" x14ac:dyDescent="0.25"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4:32" x14ac:dyDescent="0.25"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4:32" x14ac:dyDescent="0.25"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4:32" x14ac:dyDescent="0.25"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4:32" x14ac:dyDescent="0.25"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4:32" x14ac:dyDescent="0.25"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4:32" x14ac:dyDescent="0.25"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4:32" x14ac:dyDescent="0.25"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4:32" x14ac:dyDescent="0.25"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4:32" x14ac:dyDescent="0.25"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4:32" x14ac:dyDescent="0.25"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4:32" x14ac:dyDescent="0.25"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4:32" x14ac:dyDescent="0.25"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4:32" x14ac:dyDescent="0.25"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4:32" x14ac:dyDescent="0.25"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4:32" x14ac:dyDescent="0.25"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4:32" x14ac:dyDescent="0.25"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4:32" x14ac:dyDescent="0.25"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4:32" x14ac:dyDescent="0.25"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4:32" x14ac:dyDescent="0.25"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4:32" x14ac:dyDescent="0.2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4:32" x14ac:dyDescent="0.2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4:32" x14ac:dyDescent="0.2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4:32" x14ac:dyDescent="0.2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4:32" x14ac:dyDescent="0.2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4:32" x14ac:dyDescent="0.2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4:32" x14ac:dyDescent="0.2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4:32" x14ac:dyDescent="0.2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4:32" x14ac:dyDescent="0.2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4:32" x14ac:dyDescent="0.2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4:32" x14ac:dyDescent="0.2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4:32" x14ac:dyDescent="0.2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4:32" x14ac:dyDescent="0.2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4:32" x14ac:dyDescent="0.2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4:32" x14ac:dyDescent="0.2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4:32" x14ac:dyDescent="0.2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4:32" x14ac:dyDescent="0.2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4:32" x14ac:dyDescent="0.2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4:32" x14ac:dyDescent="0.2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4:32" x14ac:dyDescent="0.2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4:32" x14ac:dyDescent="0.2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4:32" x14ac:dyDescent="0.2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4:32" x14ac:dyDescent="0.2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4:32" x14ac:dyDescent="0.2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4:32" x14ac:dyDescent="0.2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4:32" x14ac:dyDescent="0.2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4:32" x14ac:dyDescent="0.2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4:32" x14ac:dyDescent="0.2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4:32" x14ac:dyDescent="0.2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4:32" x14ac:dyDescent="0.2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4:32" x14ac:dyDescent="0.2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4:32" x14ac:dyDescent="0.2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4:32" x14ac:dyDescent="0.2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4:32" x14ac:dyDescent="0.2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4:32" x14ac:dyDescent="0.2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4:32" x14ac:dyDescent="0.2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4:32" x14ac:dyDescent="0.2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</sheetData>
  <pageMargins left="0.31496062992125984" right="0.31496062992125984" top="0.15748031496062992" bottom="0.15748031496062992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6"/>
  <sheetViews>
    <sheetView tabSelected="1" topLeftCell="A40" workbookViewId="0">
      <selection activeCell="P45" sqref="P45"/>
    </sheetView>
  </sheetViews>
  <sheetFormatPr defaultRowHeight="15" x14ac:dyDescent="0.25"/>
  <cols>
    <col min="1" max="1" width="7.85546875" customWidth="1"/>
    <col min="2" max="2" width="10.7109375" customWidth="1"/>
    <col min="4" max="4" width="9.42578125" bestFit="1" customWidth="1"/>
    <col min="8" max="8" width="12.140625" customWidth="1"/>
    <col min="9" max="9" width="10.85546875" customWidth="1"/>
    <col min="14" max="14" width="10.7109375" customWidth="1"/>
    <col min="19" max="19" width="11.140625" customWidth="1"/>
    <col min="20" max="20" width="10.7109375" customWidth="1"/>
    <col min="21" max="21" width="12" customWidth="1"/>
  </cols>
  <sheetData>
    <row r="1" spans="2:21" x14ac:dyDescent="0.25">
      <c r="B1" s="12"/>
      <c r="C1" s="12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x14ac:dyDescent="0.25">
      <c r="B2" s="12"/>
      <c r="C2" s="1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 x14ac:dyDescent="0.25">
      <c r="B3" s="12"/>
      <c r="C3" s="13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 x14ac:dyDescent="0.25">
      <c r="B4" s="12"/>
      <c r="C4" s="12"/>
      <c r="D4" s="10"/>
      <c r="E4" s="10"/>
      <c r="F4" s="10"/>
      <c r="G4" s="10"/>
      <c r="H4" s="14" t="s">
        <v>3</v>
      </c>
      <c r="I4" s="10"/>
      <c r="J4" s="10"/>
      <c r="K4" s="10"/>
      <c r="L4" s="10"/>
      <c r="M4" s="10"/>
      <c r="N4" s="14" t="s">
        <v>2</v>
      </c>
      <c r="O4" s="10"/>
      <c r="P4" s="10"/>
      <c r="Q4" s="10" t="s">
        <v>5</v>
      </c>
      <c r="R4" s="10"/>
      <c r="S4" s="10">
        <v>2675000</v>
      </c>
      <c r="T4" s="10"/>
      <c r="U4" s="10"/>
    </row>
    <row r="5" spans="2:21" x14ac:dyDescent="0.25">
      <c r="B5" s="12"/>
      <c r="C5" s="12"/>
      <c r="D5" s="10"/>
      <c r="E5" s="10"/>
      <c r="F5" s="10"/>
      <c r="G5" s="10"/>
      <c r="H5" s="14" t="s">
        <v>1</v>
      </c>
      <c r="I5" s="14" t="s">
        <v>6</v>
      </c>
      <c r="J5" s="14" t="s">
        <v>12</v>
      </c>
      <c r="K5" s="14"/>
      <c r="L5" s="14"/>
      <c r="M5" s="14"/>
      <c r="N5" s="14" t="s">
        <v>1</v>
      </c>
      <c r="O5" s="14" t="s">
        <v>6</v>
      </c>
      <c r="P5" s="14" t="s">
        <v>12</v>
      </c>
      <c r="Q5" s="10"/>
      <c r="R5" s="10"/>
      <c r="S5" s="10"/>
      <c r="T5" s="10"/>
      <c r="U5" s="10"/>
    </row>
    <row r="6" spans="2:21" x14ac:dyDescent="0.25">
      <c r="B6" s="12"/>
      <c r="C6" s="12" t="s">
        <v>4</v>
      </c>
      <c r="D6" s="10"/>
      <c r="E6" s="10"/>
      <c r="F6" s="10"/>
      <c r="G6" s="10">
        <v>180372.51</v>
      </c>
      <c r="H6" s="10"/>
      <c r="I6" s="10"/>
      <c r="J6" s="10"/>
      <c r="K6" s="10"/>
      <c r="L6" s="10"/>
      <c r="M6" s="10">
        <v>50000</v>
      </c>
      <c r="N6" s="10"/>
      <c r="O6" s="10"/>
      <c r="P6" s="10"/>
      <c r="Q6" s="10"/>
      <c r="R6" s="10"/>
      <c r="S6" s="10"/>
      <c r="T6" s="10"/>
      <c r="U6" s="10"/>
    </row>
    <row r="7" spans="2:21" x14ac:dyDescent="0.25">
      <c r="B7" s="12"/>
      <c r="C7" s="12"/>
      <c r="D7" s="10"/>
      <c r="E7" s="10"/>
      <c r="F7" s="10"/>
      <c r="G7" s="10">
        <v>11333.2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x14ac:dyDescent="0.25">
      <c r="B8" s="12"/>
      <c r="C8" s="12"/>
      <c r="D8" s="10"/>
      <c r="E8" s="10"/>
      <c r="F8" s="10"/>
      <c r="G8" s="10">
        <v>50000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x14ac:dyDescent="0.25">
      <c r="B9" s="12"/>
      <c r="C9" s="12"/>
      <c r="D9" s="10"/>
      <c r="E9" s="10"/>
      <c r="F9" s="10"/>
      <c r="G9" s="10">
        <v>37702.019999999997</v>
      </c>
      <c r="H9" s="10">
        <f>SUM(G6:G9)</f>
        <v>279407.73000000004</v>
      </c>
      <c r="I9" s="10">
        <f>+H9/(N9+H9)*100</f>
        <v>84.821242658756063</v>
      </c>
      <c r="J9" s="10"/>
      <c r="K9" s="10"/>
      <c r="L9" s="10"/>
      <c r="M9" s="10"/>
      <c r="N9" s="10">
        <f>+M6</f>
        <v>50000</v>
      </c>
      <c r="O9" s="10">
        <f>+N9/(H9+N9)*100</f>
        <v>15.178757341243934</v>
      </c>
      <c r="P9" s="10"/>
      <c r="Q9" s="10"/>
      <c r="R9" s="10"/>
      <c r="S9" s="10"/>
      <c r="T9" s="10">
        <f>+N9+H9</f>
        <v>329407.73000000004</v>
      </c>
      <c r="U9" s="10"/>
    </row>
    <row r="10" spans="2:21" x14ac:dyDescent="0.25">
      <c r="B10" s="12"/>
      <c r="C10" s="12"/>
      <c r="D10" s="10"/>
      <c r="E10" s="10"/>
      <c r="F10" s="10" t="s">
        <v>10</v>
      </c>
      <c r="G10" s="10"/>
      <c r="H10" s="10"/>
      <c r="I10" s="15">
        <v>0.85</v>
      </c>
      <c r="J10" s="10"/>
      <c r="K10" s="10"/>
      <c r="L10" s="10"/>
      <c r="M10" s="10"/>
      <c r="N10" s="10"/>
      <c r="O10" s="15">
        <v>0.15</v>
      </c>
      <c r="P10" s="10"/>
      <c r="Q10" s="10"/>
      <c r="R10" s="10"/>
      <c r="S10" s="10"/>
      <c r="T10" s="10"/>
      <c r="U10" s="10"/>
    </row>
    <row r="11" spans="2:21" x14ac:dyDescent="0.25">
      <c r="B11" s="12"/>
      <c r="C11" s="12" t="s">
        <v>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 x14ac:dyDescent="0.25">
      <c r="B12" s="12"/>
      <c r="C12" s="12" t="s">
        <v>8</v>
      </c>
      <c r="D12" s="10"/>
      <c r="E12" s="10"/>
      <c r="F12" s="10">
        <f>+S4/50000</f>
        <v>53.5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x14ac:dyDescent="0.25">
      <c r="B13" s="12"/>
      <c r="C13" s="12" t="s">
        <v>9</v>
      </c>
      <c r="D13" s="10"/>
      <c r="E13" s="10"/>
      <c r="F13" s="10">
        <f>+F12*6000</f>
        <v>321000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+F13</f>
        <v>321000</v>
      </c>
      <c r="U13" s="10"/>
    </row>
    <row r="14" spans="2:21" x14ac:dyDescent="0.25">
      <c r="B14" s="12"/>
      <c r="C14" s="12" t="s">
        <v>11</v>
      </c>
      <c r="D14" s="10"/>
      <c r="E14" s="10"/>
      <c r="F14" s="14">
        <f>321000/53.5</f>
        <v>6000</v>
      </c>
      <c r="G14" s="10"/>
      <c r="H14" s="10"/>
      <c r="I14" s="10"/>
      <c r="J14" s="14">
        <f>+F14*I10</f>
        <v>5100</v>
      </c>
      <c r="K14" s="10"/>
      <c r="L14" s="10"/>
      <c r="M14" s="10"/>
      <c r="N14" s="10"/>
      <c r="O14" s="10"/>
      <c r="P14" s="14">
        <f>+F14*O10</f>
        <v>900</v>
      </c>
      <c r="Q14" s="10"/>
      <c r="R14" s="10"/>
      <c r="S14" s="10"/>
      <c r="T14" s="10">
        <f>+P14+J14</f>
        <v>6000</v>
      </c>
      <c r="U14" s="10"/>
    </row>
    <row r="15" spans="2:21" x14ac:dyDescent="0.25">
      <c r="B15" s="12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x14ac:dyDescent="0.25">
      <c r="B16" s="12"/>
      <c r="C16" s="12" t="s">
        <v>13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x14ac:dyDescent="0.25">
      <c r="B17" s="16">
        <v>37971</v>
      </c>
      <c r="C17" s="17">
        <v>1</v>
      </c>
      <c r="D17" s="10">
        <v>16800</v>
      </c>
      <c r="E17" s="10">
        <v>2.8</v>
      </c>
      <c r="F17" s="10"/>
      <c r="G17" s="10"/>
      <c r="H17" s="10">
        <f>+J14*E17</f>
        <v>14280</v>
      </c>
      <c r="I17" s="10"/>
      <c r="J17" s="10"/>
      <c r="K17" s="10"/>
      <c r="L17" s="10"/>
      <c r="M17" s="10"/>
      <c r="N17" s="10">
        <f>+P14*E17</f>
        <v>2520</v>
      </c>
      <c r="O17" s="10"/>
      <c r="P17" s="10"/>
      <c r="Q17" s="10"/>
      <c r="R17" s="10"/>
      <c r="S17" s="10"/>
      <c r="T17" s="10">
        <f>+N17+H17</f>
        <v>16800</v>
      </c>
      <c r="U17" s="10"/>
    </row>
    <row r="18" spans="2:21" x14ac:dyDescent="0.25">
      <c r="B18" s="16">
        <v>38340</v>
      </c>
      <c r="C18" s="17">
        <v>2</v>
      </c>
      <c r="D18" s="10">
        <v>18420</v>
      </c>
      <c r="E18" s="10">
        <v>3.07</v>
      </c>
      <c r="F18" s="10"/>
      <c r="G18" s="10"/>
      <c r="H18" s="10">
        <f t="shared" ref="H18:H28" si="0">+$J$14*E18</f>
        <v>15657</v>
      </c>
      <c r="I18" s="10"/>
      <c r="J18" s="10"/>
      <c r="K18" s="10"/>
      <c r="L18" s="10"/>
      <c r="M18" s="10"/>
      <c r="N18" s="10">
        <f>+$P$14*E18</f>
        <v>2763</v>
      </c>
      <c r="O18" s="10"/>
      <c r="P18" s="10"/>
      <c r="Q18" s="10"/>
      <c r="R18" s="10"/>
      <c r="S18" s="10"/>
      <c r="T18" s="10">
        <f>+N18+H18</f>
        <v>18420</v>
      </c>
      <c r="U18" s="10"/>
    </row>
    <row r="19" spans="2:21" x14ac:dyDescent="0.25">
      <c r="B19" s="16">
        <v>42125</v>
      </c>
      <c r="C19" s="17">
        <v>3</v>
      </c>
      <c r="D19" s="10">
        <v>18000</v>
      </c>
      <c r="E19" s="10">
        <v>3</v>
      </c>
      <c r="F19" s="10"/>
      <c r="G19" s="10"/>
      <c r="H19" s="10">
        <f t="shared" si="0"/>
        <v>15300</v>
      </c>
      <c r="I19" s="10"/>
      <c r="J19" s="10"/>
      <c r="K19" s="10"/>
      <c r="L19" s="10"/>
      <c r="M19" s="10"/>
      <c r="N19" s="10">
        <f t="shared" ref="N19:N28" si="1">+$P$14*E19</f>
        <v>2700</v>
      </c>
      <c r="O19" s="10"/>
      <c r="P19" s="10"/>
      <c r="Q19" s="10"/>
      <c r="R19" s="10"/>
      <c r="S19" s="10"/>
      <c r="T19" s="10">
        <f t="shared" ref="T19:T34" si="2">+N19+H19</f>
        <v>18000</v>
      </c>
      <c r="U19" s="10"/>
    </row>
    <row r="20" spans="2:21" x14ac:dyDescent="0.25">
      <c r="B20" s="16">
        <v>42460</v>
      </c>
      <c r="C20" s="17">
        <v>5</v>
      </c>
      <c r="D20" s="10">
        <v>14460</v>
      </c>
      <c r="E20" s="10">
        <v>2.41</v>
      </c>
      <c r="F20" s="10"/>
      <c r="G20" s="10"/>
      <c r="H20" s="10">
        <f t="shared" si="0"/>
        <v>12291</v>
      </c>
      <c r="I20" s="10"/>
      <c r="J20" s="10"/>
      <c r="K20" s="10"/>
      <c r="L20" s="10"/>
      <c r="M20" s="10"/>
      <c r="N20" s="10">
        <f t="shared" si="1"/>
        <v>2169</v>
      </c>
      <c r="O20" s="10"/>
      <c r="P20" s="10"/>
      <c r="Q20" s="10"/>
      <c r="R20" s="10"/>
      <c r="S20" s="10"/>
      <c r="T20" s="10">
        <f t="shared" si="2"/>
        <v>14460</v>
      </c>
      <c r="U20" s="10"/>
    </row>
    <row r="21" spans="2:21" x14ac:dyDescent="0.25">
      <c r="B21" s="16">
        <v>42491</v>
      </c>
      <c r="C21" s="17">
        <v>5</v>
      </c>
      <c r="D21" s="10">
        <v>13620</v>
      </c>
      <c r="E21" s="10">
        <v>2.27</v>
      </c>
      <c r="F21" s="10"/>
      <c r="G21" s="10"/>
      <c r="H21" s="10">
        <f t="shared" si="0"/>
        <v>11577</v>
      </c>
      <c r="I21" s="10"/>
      <c r="J21" s="10"/>
      <c r="K21" s="10"/>
      <c r="L21" s="10"/>
      <c r="M21" s="10"/>
      <c r="N21" s="10">
        <f t="shared" si="1"/>
        <v>2043</v>
      </c>
      <c r="O21" s="10"/>
      <c r="P21" s="10"/>
      <c r="Q21" s="10"/>
      <c r="R21" s="10"/>
      <c r="S21" s="10"/>
      <c r="T21" s="10">
        <f t="shared" si="2"/>
        <v>13620</v>
      </c>
      <c r="U21" s="10"/>
    </row>
    <row r="22" spans="2:21" x14ac:dyDescent="0.25">
      <c r="B22" s="16">
        <v>42467</v>
      </c>
      <c r="C22" s="17">
        <v>4</v>
      </c>
      <c r="D22" s="10">
        <v>21600</v>
      </c>
      <c r="E22" s="10">
        <v>3.6</v>
      </c>
      <c r="F22" s="10"/>
      <c r="G22" s="10"/>
      <c r="H22" s="10">
        <f t="shared" si="0"/>
        <v>18360</v>
      </c>
      <c r="I22" s="10"/>
      <c r="J22" s="10"/>
      <c r="K22" s="10"/>
      <c r="L22" s="10"/>
      <c r="M22" s="10"/>
      <c r="N22" s="10">
        <f t="shared" si="1"/>
        <v>3240</v>
      </c>
      <c r="O22" s="10"/>
      <c r="P22" s="10"/>
      <c r="Q22" s="10"/>
      <c r="R22" s="10"/>
      <c r="S22" s="10"/>
      <c r="T22" s="10">
        <f t="shared" si="2"/>
        <v>21600</v>
      </c>
      <c r="U22" s="10"/>
    </row>
    <row r="23" spans="2:21" x14ac:dyDescent="0.25">
      <c r="B23" s="16">
        <v>42831</v>
      </c>
      <c r="C23" s="17">
        <v>6</v>
      </c>
      <c r="D23" s="10">
        <v>20460</v>
      </c>
      <c r="E23" s="10">
        <v>3.41</v>
      </c>
      <c r="F23" s="10"/>
      <c r="G23" s="10"/>
      <c r="H23" s="10">
        <f t="shared" si="0"/>
        <v>17391</v>
      </c>
      <c r="I23" s="10"/>
      <c r="J23" s="10"/>
      <c r="K23" s="10"/>
      <c r="L23" s="10"/>
      <c r="M23" s="10"/>
      <c r="N23" s="10">
        <f t="shared" si="1"/>
        <v>3069</v>
      </c>
      <c r="O23" s="10"/>
      <c r="P23" s="10"/>
      <c r="Q23" s="10"/>
      <c r="R23" s="10"/>
      <c r="S23" s="10"/>
      <c r="T23" s="10">
        <f t="shared" si="2"/>
        <v>20460</v>
      </c>
      <c r="U23" s="10"/>
    </row>
    <row r="24" spans="2:21" x14ac:dyDescent="0.25">
      <c r="B24" s="16">
        <v>43251</v>
      </c>
      <c r="C24" s="17">
        <v>7</v>
      </c>
      <c r="D24" s="10">
        <v>10920</v>
      </c>
      <c r="E24" s="10">
        <v>1.82</v>
      </c>
      <c r="F24" s="10"/>
      <c r="G24" s="10"/>
      <c r="H24" s="10">
        <f t="shared" si="0"/>
        <v>9282</v>
      </c>
      <c r="I24" s="10"/>
      <c r="J24" s="10"/>
      <c r="K24" s="10"/>
      <c r="L24" s="10"/>
      <c r="M24" s="10"/>
      <c r="N24" s="10">
        <f t="shared" si="1"/>
        <v>1638</v>
      </c>
      <c r="O24" s="10"/>
      <c r="P24" s="10"/>
      <c r="Q24" s="10"/>
      <c r="R24" s="10"/>
      <c r="S24" s="10"/>
      <c r="T24" s="10">
        <f t="shared" si="2"/>
        <v>10920</v>
      </c>
      <c r="U24" s="10"/>
    </row>
    <row r="25" spans="2:21" x14ac:dyDescent="0.25">
      <c r="B25" s="16">
        <v>43313</v>
      </c>
      <c r="C25" s="17">
        <v>8</v>
      </c>
      <c r="D25" s="10">
        <v>600</v>
      </c>
      <c r="E25" s="10">
        <v>0.1</v>
      </c>
      <c r="F25" s="10"/>
      <c r="G25" s="10"/>
      <c r="H25" s="10">
        <f t="shared" si="0"/>
        <v>510</v>
      </c>
      <c r="I25" s="10"/>
      <c r="J25" s="10"/>
      <c r="K25" s="10"/>
      <c r="L25" s="10"/>
      <c r="M25" s="10"/>
      <c r="N25" s="10">
        <f t="shared" si="1"/>
        <v>90</v>
      </c>
      <c r="O25" s="10"/>
      <c r="P25" s="10"/>
      <c r="Q25" s="10"/>
      <c r="R25" s="10"/>
      <c r="S25" s="10"/>
      <c r="T25" s="10">
        <f t="shared" si="2"/>
        <v>600</v>
      </c>
      <c r="U25" s="10"/>
    </row>
    <row r="26" spans="2:21" x14ac:dyDescent="0.25">
      <c r="B26" s="21">
        <v>43749</v>
      </c>
      <c r="C26" s="22">
        <v>9</v>
      </c>
      <c r="D26" s="19">
        <v>16800</v>
      </c>
      <c r="E26" s="19">
        <v>2.8</v>
      </c>
      <c r="F26" s="19"/>
      <c r="G26" s="19"/>
      <c r="H26" s="19">
        <f t="shared" si="0"/>
        <v>14280</v>
      </c>
      <c r="I26" s="19"/>
      <c r="J26" s="19"/>
      <c r="K26" s="19"/>
      <c r="L26" s="19"/>
      <c r="M26" s="19"/>
      <c r="N26" s="19">
        <f t="shared" si="1"/>
        <v>2520</v>
      </c>
      <c r="O26" s="19"/>
      <c r="P26" s="19"/>
      <c r="Q26" s="19"/>
      <c r="R26" s="19"/>
      <c r="S26" s="19"/>
      <c r="T26" s="10">
        <f t="shared" si="2"/>
        <v>16800</v>
      </c>
      <c r="U26" s="10"/>
    </row>
    <row r="27" spans="2:21" x14ac:dyDescent="0.25">
      <c r="B27" s="21">
        <v>43586</v>
      </c>
      <c r="C27" s="22">
        <v>10</v>
      </c>
      <c r="D27" s="19">
        <v>12540</v>
      </c>
      <c r="E27" s="19">
        <v>2.09</v>
      </c>
      <c r="F27" s="19"/>
      <c r="G27" s="19"/>
      <c r="H27" s="19">
        <f t="shared" si="0"/>
        <v>10659</v>
      </c>
      <c r="I27" s="19"/>
      <c r="J27" s="19"/>
      <c r="K27" s="19"/>
      <c r="L27" s="19"/>
      <c r="M27" s="19"/>
      <c r="N27" s="19">
        <f t="shared" si="1"/>
        <v>1880.9999999999998</v>
      </c>
      <c r="O27" s="19"/>
      <c r="P27" s="19"/>
      <c r="Q27" s="19"/>
      <c r="R27" s="19"/>
      <c r="S27" s="19"/>
      <c r="T27" s="10">
        <f t="shared" si="2"/>
        <v>12540</v>
      </c>
      <c r="U27" s="10"/>
    </row>
    <row r="28" spans="2:21" x14ac:dyDescent="0.25">
      <c r="B28" s="21">
        <v>43543</v>
      </c>
      <c r="C28" s="22">
        <v>11</v>
      </c>
      <c r="D28" s="19">
        <v>9900</v>
      </c>
      <c r="E28" s="19">
        <v>1.65</v>
      </c>
      <c r="F28" s="19"/>
      <c r="G28" s="19"/>
      <c r="H28" s="19">
        <f t="shared" si="0"/>
        <v>8415</v>
      </c>
      <c r="I28" s="19"/>
      <c r="J28" s="19"/>
      <c r="K28" s="19"/>
      <c r="L28" s="19"/>
      <c r="M28" s="19"/>
      <c r="N28" s="19">
        <f t="shared" si="1"/>
        <v>1485</v>
      </c>
      <c r="O28" s="19"/>
      <c r="P28" s="19"/>
      <c r="Q28" s="19"/>
      <c r="R28" s="19"/>
      <c r="S28" s="19"/>
      <c r="T28" s="10">
        <f t="shared" si="2"/>
        <v>9900</v>
      </c>
      <c r="U28" s="10"/>
    </row>
    <row r="29" spans="2:21" x14ac:dyDescent="0.25">
      <c r="B29" s="16"/>
      <c r="C29" s="17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</row>
    <row r="30" spans="2:21" x14ac:dyDescent="0.25">
      <c r="B30" s="16"/>
      <c r="C30" s="17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</row>
    <row r="31" spans="2:21" x14ac:dyDescent="0.25">
      <c r="B31" s="16"/>
      <c r="C31" s="12"/>
      <c r="D31" s="14">
        <f>SUM(D17:D28)</f>
        <v>174120</v>
      </c>
      <c r="E31" s="10"/>
      <c r="F31" s="10"/>
      <c r="G31" s="10"/>
      <c r="H31" s="14">
        <f>SUM(H17:H28)</f>
        <v>148002</v>
      </c>
      <c r="I31" s="10">
        <f>+H31/(N31+H31)*100</f>
        <v>85</v>
      </c>
      <c r="J31" s="10"/>
      <c r="K31" s="10"/>
      <c r="L31" s="10"/>
      <c r="M31" s="10"/>
      <c r="N31" s="14">
        <f>SUM(N17:N28)</f>
        <v>26118</v>
      </c>
      <c r="O31" s="10">
        <f>+N31/(H31+N31)*100</f>
        <v>15</v>
      </c>
      <c r="P31" s="10"/>
      <c r="Q31" s="10"/>
      <c r="R31" s="10"/>
      <c r="S31" s="10"/>
      <c r="T31" s="10">
        <f>SUM(T17:T28)</f>
        <v>174120</v>
      </c>
      <c r="U31" s="10">
        <f>+H31+N31</f>
        <v>174120</v>
      </c>
    </row>
    <row r="32" spans="2:21" x14ac:dyDescent="0.25">
      <c r="B32" s="12"/>
      <c r="C32" s="1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>
        <f t="shared" si="2"/>
        <v>0</v>
      </c>
      <c r="U32" s="10"/>
    </row>
    <row r="33" spans="1:21" x14ac:dyDescent="0.25">
      <c r="A33" s="3"/>
      <c r="B33" s="13" t="s">
        <v>15</v>
      </c>
      <c r="C33" s="13"/>
      <c r="D33" s="14"/>
      <c r="E33" s="14"/>
      <c r="F33" s="14"/>
      <c r="G33" s="14"/>
      <c r="H33" s="14">
        <f>+H31+H9</f>
        <v>427409.73000000004</v>
      </c>
      <c r="I33" s="18">
        <f>+H33/(H33+N33)</f>
        <v>0.84883056986752248</v>
      </c>
      <c r="J33" s="14"/>
      <c r="K33" s="14"/>
      <c r="L33" s="14"/>
      <c r="M33" s="14"/>
      <c r="N33" s="14">
        <f>+N31+N9</f>
        <v>76118</v>
      </c>
      <c r="O33" s="18">
        <f>+N33/(H33+N33)</f>
        <v>0.15116943013247749</v>
      </c>
      <c r="P33" s="14"/>
      <c r="Q33" s="14"/>
      <c r="R33" s="14"/>
      <c r="S33" s="14"/>
      <c r="T33" s="14">
        <f t="shared" si="2"/>
        <v>503527.73000000004</v>
      </c>
      <c r="U33" s="14">
        <f>+T9+T31</f>
        <v>503527.73000000004</v>
      </c>
    </row>
    <row r="34" spans="1:21" x14ac:dyDescent="0.25">
      <c r="B34" s="12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>
        <f t="shared" si="2"/>
        <v>0</v>
      </c>
      <c r="U34" s="10"/>
    </row>
    <row r="35" spans="1:21" x14ac:dyDescent="0.25">
      <c r="B35" s="12"/>
      <c r="C35" s="12" t="s">
        <v>14</v>
      </c>
      <c r="D35" s="10"/>
      <c r="E35" s="10">
        <v>200000</v>
      </c>
      <c r="F35" s="10"/>
      <c r="G35" s="10"/>
      <c r="H35" s="10">
        <v>100000</v>
      </c>
      <c r="I35" s="15">
        <v>0.5</v>
      </c>
      <c r="J35" s="10"/>
      <c r="K35" s="10"/>
      <c r="L35" s="10"/>
      <c r="M35" s="10"/>
      <c r="N35" s="10">
        <v>100000</v>
      </c>
      <c r="O35" s="15">
        <v>0.5</v>
      </c>
      <c r="P35" s="10"/>
      <c r="Q35" s="10"/>
      <c r="R35" s="10"/>
      <c r="S35" s="10"/>
      <c r="T35" s="10">
        <f>+N35+H35</f>
        <v>200000</v>
      </c>
      <c r="U35" s="10"/>
    </row>
    <row r="36" spans="1:21" x14ac:dyDescent="0.25">
      <c r="B36" s="12"/>
      <c r="C36" s="12" t="s">
        <v>13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25">
      <c r="B37" s="16">
        <v>42766</v>
      </c>
      <c r="C37" s="12">
        <v>1</v>
      </c>
      <c r="D37" s="10"/>
      <c r="E37" s="10">
        <v>24000</v>
      </c>
      <c r="F37" s="10"/>
      <c r="G37" s="10"/>
      <c r="H37" s="10">
        <v>12000</v>
      </c>
      <c r="I37" s="15">
        <v>0.5</v>
      </c>
      <c r="J37" s="10"/>
      <c r="K37" s="10"/>
      <c r="L37" s="10"/>
      <c r="M37" s="10"/>
      <c r="N37" s="10">
        <v>12000</v>
      </c>
      <c r="O37" s="15">
        <v>0.5</v>
      </c>
      <c r="P37" s="10"/>
      <c r="Q37" s="10"/>
      <c r="R37" s="10"/>
      <c r="S37" s="10"/>
      <c r="T37" s="10">
        <f>+N37+H37</f>
        <v>24000</v>
      </c>
      <c r="U37" s="10"/>
    </row>
    <row r="38" spans="1:21" x14ac:dyDescent="0.25">
      <c r="B38" s="16">
        <v>43252</v>
      </c>
      <c r="C38" s="12" t="s">
        <v>24</v>
      </c>
      <c r="D38" s="10"/>
      <c r="E38" s="10"/>
      <c r="F38" s="19">
        <v>12000</v>
      </c>
      <c r="G38" s="10"/>
      <c r="H38" s="19">
        <v>6000</v>
      </c>
      <c r="I38" s="15">
        <v>0.5</v>
      </c>
      <c r="J38" s="10"/>
      <c r="K38" s="10"/>
      <c r="L38" s="10"/>
      <c r="M38" s="10"/>
      <c r="N38" s="19">
        <v>6000</v>
      </c>
      <c r="O38" s="15">
        <v>0.5</v>
      </c>
      <c r="P38" s="10"/>
      <c r="Q38" s="10"/>
      <c r="R38" s="10"/>
      <c r="S38" s="10"/>
      <c r="T38" s="10"/>
      <c r="U38" s="10"/>
    </row>
    <row r="39" spans="1:21" x14ac:dyDescent="0.25">
      <c r="B39" s="12"/>
      <c r="C39" s="12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</row>
    <row r="40" spans="1:21" x14ac:dyDescent="0.25">
      <c r="A40" s="3"/>
      <c r="B40" s="13" t="s">
        <v>16</v>
      </c>
      <c r="C40" s="13"/>
      <c r="D40" s="14"/>
      <c r="E40" s="14"/>
      <c r="F40" s="14"/>
      <c r="G40" s="14"/>
      <c r="H40" s="14">
        <f>+H37+H35+H31+H38</f>
        <v>266002</v>
      </c>
      <c r="I40" s="14"/>
      <c r="J40" s="14"/>
      <c r="K40" s="14"/>
      <c r="L40" s="14"/>
      <c r="M40" s="14"/>
      <c r="N40" s="14">
        <f>+N37+N35+N31+N38</f>
        <v>144118</v>
      </c>
      <c r="O40" s="14"/>
      <c r="P40" s="14"/>
      <c r="Q40" s="14"/>
      <c r="R40" s="14"/>
      <c r="S40" s="14"/>
      <c r="T40" s="14">
        <f>+N40+H40</f>
        <v>410120</v>
      </c>
      <c r="U40" s="14"/>
    </row>
    <row r="41" spans="1:21" x14ac:dyDescent="0.25">
      <c r="B41" s="12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25">
      <c r="B42" s="12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B43" s="12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25">
      <c r="B44" s="12" t="s">
        <v>18</v>
      </c>
      <c r="C44" s="12"/>
      <c r="D44" s="10"/>
      <c r="E44" s="10"/>
      <c r="F44" s="10"/>
      <c r="G44" s="10"/>
      <c r="H44" s="10">
        <f>+H40+H9</f>
        <v>545409.73</v>
      </c>
      <c r="I44" s="10"/>
      <c r="J44" s="10"/>
      <c r="K44" s="10"/>
      <c r="L44" s="10"/>
      <c r="M44" s="10"/>
      <c r="N44" s="10">
        <f>+N40+N9</f>
        <v>194118</v>
      </c>
      <c r="O44" s="10"/>
      <c r="P44" s="10"/>
      <c r="Q44" s="10"/>
      <c r="R44" s="10"/>
      <c r="S44" s="10">
        <f>+N44+H44</f>
        <v>739527.73</v>
      </c>
      <c r="T44" s="10">
        <f>+T40+T9</f>
        <v>739527.73</v>
      </c>
      <c r="U44" s="10">
        <f>+N44+H44</f>
        <v>739527.73</v>
      </c>
    </row>
    <row r="45" spans="1:21" x14ac:dyDescent="0.25">
      <c r="B45" s="12"/>
      <c r="C45" s="12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</row>
    <row r="46" spans="1:21" x14ac:dyDescent="0.25">
      <c r="B46" s="12"/>
      <c r="C46" s="12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</row>
    <row r="47" spans="1:21" x14ac:dyDescent="0.25">
      <c r="B47" s="12"/>
      <c r="C47" s="12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</row>
    <row r="48" spans="1:21" x14ac:dyDescent="0.25">
      <c r="B48" s="12"/>
      <c r="C48" s="12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</row>
    <row r="49" spans="1:21" x14ac:dyDescent="0.25">
      <c r="B49" s="12"/>
      <c r="C49" s="12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</row>
    <row r="50" spans="1:21" x14ac:dyDescent="0.25"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</row>
    <row r="51" spans="1:21" x14ac:dyDescent="0.25"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</row>
    <row r="52" spans="1:21" x14ac:dyDescent="0.25">
      <c r="B52" t="s">
        <v>17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</row>
    <row r="53" spans="1:21" x14ac:dyDescent="0.25">
      <c r="B53" t="s">
        <v>19</v>
      </c>
      <c r="D53" s="2"/>
      <c r="E53" s="2" t="s">
        <v>23</v>
      </c>
      <c r="F53" s="2"/>
      <c r="G53" s="2"/>
      <c r="H53" s="2">
        <f>+H31</f>
        <v>148002</v>
      </c>
      <c r="I53" s="1">
        <f>+H53/T53</f>
        <v>0.85</v>
      </c>
      <c r="J53" s="2"/>
      <c r="K53" s="2"/>
      <c r="L53" s="2"/>
      <c r="M53" s="2"/>
      <c r="N53" s="2">
        <f>+N31</f>
        <v>26118</v>
      </c>
      <c r="O53" s="1">
        <f>+N53/T53</f>
        <v>0.15</v>
      </c>
      <c r="P53" s="2"/>
      <c r="Q53" s="2"/>
      <c r="R53" s="2"/>
      <c r="S53" s="2"/>
      <c r="T53" s="2">
        <f>+N53+H53</f>
        <v>174120</v>
      </c>
      <c r="U53" s="2"/>
    </row>
    <row r="54" spans="1:21" x14ac:dyDescent="0.25">
      <c r="B54" t="s">
        <v>20</v>
      </c>
      <c r="D54" s="2"/>
      <c r="E54" s="2">
        <v>6000</v>
      </c>
      <c r="F54" s="2">
        <v>104.34</v>
      </c>
      <c r="G54" s="2"/>
      <c r="H54" s="2">
        <f>+E54*F54*0.85</f>
        <v>532134</v>
      </c>
      <c r="I54" s="1">
        <f>+H54/T54</f>
        <v>0.85</v>
      </c>
      <c r="J54" s="2"/>
      <c r="K54" s="2"/>
      <c r="L54" s="2"/>
      <c r="M54" s="2"/>
      <c r="N54" s="2">
        <f>+E54*F54*0.15</f>
        <v>93906</v>
      </c>
      <c r="O54" s="1">
        <f>+N54/T54</f>
        <v>0.15</v>
      </c>
      <c r="P54" s="2"/>
      <c r="Q54" s="2"/>
      <c r="R54" s="2"/>
      <c r="S54" s="2"/>
      <c r="T54" s="2">
        <f>+N54+H54</f>
        <v>626040</v>
      </c>
      <c r="U54" s="2"/>
    </row>
    <row r="55" spans="1:21" x14ac:dyDescent="0.25">
      <c r="D55" s="2"/>
      <c r="E55" s="2"/>
      <c r="F55" s="2"/>
      <c r="G55" s="2"/>
      <c r="H55" s="2">
        <f>SUM(H53:H54)</f>
        <v>680136</v>
      </c>
      <c r="I55" s="1">
        <f>+H55/T55</f>
        <v>0.85</v>
      </c>
      <c r="J55" s="2"/>
      <c r="K55" s="2"/>
      <c r="L55" s="2"/>
      <c r="M55" s="2"/>
      <c r="N55" s="2">
        <f>+N53+N54</f>
        <v>120024</v>
      </c>
      <c r="O55" s="1">
        <f>+N55/T55</f>
        <v>0.15</v>
      </c>
      <c r="P55" s="2"/>
      <c r="Q55" s="2"/>
      <c r="R55" s="2"/>
      <c r="S55" s="2"/>
      <c r="T55" s="2">
        <f>+T53+T54</f>
        <v>800160</v>
      </c>
      <c r="U55" s="2">
        <f>+N55+H55</f>
        <v>800160</v>
      </c>
    </row>
    <row r="56" spans="1:21" x14ac:dyDescent="0.25">
      <c r="B56" t="s">
        <v>14</v>
      </c>
      <c r="D56" s="2"/>
      <c r="E56" s="2"/>
      <c r="F56" s="2"/>
      <c r="G56" s="2"/>
      <c r="H56" s="2">
        <v>100000</v>
      </c>
      <c r="I56" s="1">
        <f>+H56/T56</f>
        <v>0.5</v>
      </c>
      <c r="J56" s="2"/>
      <c r="K56" s="2"/>
      <c r="L56" s="2"/>
      <c r="M56" s="2"/>
      <c r="N56" s="2">
        <v>100000</v>
      </c>
      <c r="O56" s="1">
        <f>+N56/T56</f>
        <v>0.5</v>
      </c>
      <c r="P56" s="2"/>
      <c r="Q56" s="2"/>
      <c r="R56" s="2"/>
      <c r="S56" s="2"/>
      <c r="T56" s="2">
        <f>+N56+H56</f>
        <v>200000</v>
      </c>
      <c r="U56" s="2"/>
    </row>
    <row r="57" spans="1:21" x14ac:dyDescent="0.25">
      <c r="B57" t="s">
        <v>21</v>
      </c>
      <c r="D57" s="2"/>
      <c r="E57" s="2"/>
      <c r="F57" s="2"/>
      <c r="G57" s="2"/>
      <c r="H57" s="2">
        <f>+H37+H38</f>
        <v>18000</v>
      </c>
      <c r="I57" s="1">
        <f t="shared" ref="I57" si="3">+H57/N57</f>
        <v>1</v>
      </c>
      <c r="J57" s="2"/>
      <c r="K57" s="2"/>
      <c r="L57" s="2"/>
      <c r="M57" s="2"/>
      <c r="N57" s="2">
        <f>+N37+N38</f>
        <v>18000</v>
      </c>
      <c r="O57" s="1">
        <f>+N57/T57</f>
        <v>0.5</v>
      </c>
      <c r="P57" s="2"/>
      <c r="Q57" s="2"/>
      <c r="R57" s="2"/>
      <c r="S57" s="2"/>
      <c r="T57" s="2">
        <f>+N57+H57</f>
        <v>36000</v>
      </c>
      <c r="U57" s="2"/>
    </row>
    <row r="58" spans="1:21" x14ac:dyDescent="0.25">
      <c r="B58" s="1"/>
      <c r="D58" s="2"/>
      <c r="E58" s="2"/>
      <c r="F58" s="2"/>
      <c r="G58" s="2"/>
      <c r="H58" s="2"/>
      <c r="I58" s="1"/>
      <c r="J58" s="2"/>
      <c r="K58" s="2"/>
      <c r="L58" s="2"/>
      <c r="M58" s="2"/>
      <c r="N58" s="2"/>
      <c r="O58" s="1"/>
      <c r="P58" s="2"/>
      <c r="Q58" s="2"/>
      <c r="R58" s="2"/>
      <c r="S58" s="2"/>
      <c r="T58" s="2"/>
      <c r="U58" s="2"/>
    </row>
    <row r="59" spans="1:21" x14ac:dyDescent="0.25">
      <c r="D59" s="2"/>
      <c r="E59" s="2"/>
      <c r="F59" s="2"/>
      <c r="G59" s="2"/>
      <c r="H59" s="2">
        <f>SUM(H55:H58)</f>
        <v>798136</v>
      </c>
      <c r="I59" s="1">
        <v>0.77</v>
      </c>
      <c r="J59" s="9"/>
      <c r="K59" s="2"/>
      <c r="L59" s="2"/>
      <c r="M59" s="2"/>
      <c r="N59" s="11">
        <f>SUM(N55:N58)</f>
        <v>238024</v>
      </c>
      <c r="O59" s="1">
        <f>+N59/T59</f>
        <v>0.22971741815935762</v>
      </c>
      <c r="P59" s="2"/>
      <c r="Q59" s="2"/>
      <c r="R59" s="2"/>
      <c r="S59" s="2"/>
      <c r="T59" s="2">
        <f>SUM(T55:T58)</f>
        <v>1036160</v>
      </c>
      <c r="U59" s="2">
        <f>+H59+N59</f>
        <v>1036160</v>
      </c>
    </row>
    <row r="60" spans="1:21" ht="18.75" x14ac:dyDescent="0.3">
      <c r="A60" s="6"/>
      <c r="B60" s="6" t="s">
        <v>22</v>
      </c>
      <c r="C60" s="6"/>
      <c r="D60" s="7"/>
      <c r="E60" s="7"/>
      <c r="F60" s="7"/>
      <c r="G60" s="7"/>
      <c r="H60" s="8">
        <f>+H59/4</f>
        <v>199534</v>
      </c>
      <c r="I60" s="5">
        <f>+H60/H59*100</f>
        <v>25</v>
      </c>
      <c r="J60" s="8"/>
      <c r="K60" s="8"/>
      <c r="L60" s="8"/>
      <c r="M60" s="8"/>
      <c r="N60" s="8">
        <f>+N59/4</f>
        <v>59506</v>
      </c>
      <c r="O60" s="8">
        <f>+N60/N59*100</f>
        <v>25</v>
      </c>
      <c r="P60" s="8"/>
      <c r="Q60" s="8"/>
      <c r="R60" s="8"/>
      <c r="S60" s="8">
        <f>+H60+N60</f>
        <v>259040</v>
      </c>
      <c r="T60" s="8">
        <f>+T59/4</f>
        <v>259040</v>
      </c>
      <c r="U60" s="8">
        <f>+N60+H60</f>
        <v>259040</v>
      </c>
    </row>
    <row r="61" spans="1:21" ht="15.75" x14ac:dyDescent="0.25">
      <c r="B61" s="20" t="s">
        <v>25</v>
      </c>
      <c r="D61" s="2"/>
      <c r="E61" s="2"/>
      <c r="F61" s="2"/>
      <c r="G61" s="2"/>
      <c r="H61" s="8">
        <v>191195</v>
      </c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5.75" x14ac:dyDescent="0.25">
      <c r="D62" s="2"/>
      <c r="E62" s="2"/>
      <c r="F62" s="2"/>
      <c r="G62" s="2"/>
      <c r="H62" s="8">
        <f>+H60-H61</f>
        <v>8339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</row>
    <row r="63" spans="1:21" x14ac:dyDescent="0.25"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</row>
    <row r="64" spans="1:21" x14ac:dyDescent="0.25">
      <c r="D64" s="2"/>
      <c r="E64" s="2"/>
      <c r="F64" s="2"/>
      <c r="G64" s="2"/>
      <c r="H64" s="2"/>
      <c r="I64" s="2">
        <f>+H59/T59*100</f>
        <v>77.028258184064242</v>
      </c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</row>
    <row r="65" spans="4:21" x14ac:dyDescent="0.25">
      <c r="D65" s="2"/>
      <c r="E65" s="2"/>
      <c r="F65" s="2"/>
      <c r="G65" s="2"/>
      <c r="H65" s="2"/>
      <c r="I65" s="2">
        <f>+H59*0.25</f>
        <v>199534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</row>
    <row r="66" spans="4:21" x14ac:dyDescent="0.25"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</sheetData>
  <pageMargins left="0.11811023622047245" right="0.11811023622047245" top="0.19685039370078741" bottom="0.15748031496062992" header="0.31496062992125984" footer="0.11811023622047245"/>
  <pageSetup paperSize="9" scale="62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14" sqref="H14"/>
    </sheetView>
  </sheetViews>
  <sheetFormatPr defaultRowHeight="15" x14ac:dyDescent="0.25"/>
  <sheetData>
    <row r="1" spans="2:21" x14ac:dyDescent="0.25">
      <c r="B1" s="12"/>
      <c r="C1" s="12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</row>
    <row r="2" spans="2:21" x14ac:dyDescent="0.25">
      <c r="B2" s="12"/>
      <c r="C2" s="12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2:21" x14ac:dyDescent="0.25">
      <c r="B3" s="12"/>
      <c r="C3" s="13" t="s">
        <v>0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</row>
    <row r="4" spans="2:21" x14ac:dyDescent="0.25">
      <c r="B4" s="12"/>
      <c r="C4" s="12"/>
      <c r="D4" s="10"/>
      <c r="E4" s="10"/>
      <c r="F4" s="10"/>
      <c r="G4" s="10"/>
      <c r="H4" s="14" t="s">
        <v>3</v>
      </c>
      <c r="I4" s="10"/>
      <c r="J4" s="10"/>
      <c r="K4" s="10"/>
      <c r="L4" s="10"/>
      <c r="M4" s="10"/>
      <c r="N4" s="14" t="s">
        <v>2</v>
      </c>
      <c r="O4" s="10"/>
      <c r="P4" s="10"/>
      <c r="Q4" s="10" t="s">
        <v>5</v>
      </c>
      <c r="R4" s="10"/>
      <c r="S4" s="10">
        <v>2675000</v>
      </c>
      <c r="T4" s="10"/>
      <c r="U4" s="10"/>
    </row>
    <row r="5" spans="2:21" x14ac:dyDescent="0.25">
      <c r="B5" s="12"/>
      <c r="C5" s="12"/>
      <c r="D5" s="10"/>
      <c r="E5" s="10"/>
      <c r="F5" s="10"/>
      <c r="G5" s="10"/>
      <c r="H5" s="14" t="s">
        <v>1</v>
      </c>
      <c r="I5" s="14" t="s">
        <v>6</v>
      </c>
      <c r="J5" s="14" t="s">
        <v>12</v>
      </c>
      <c r="K5" s="14"/>
      <c r="L5" s="14"/>
      <c r="M5" s="14"/>
      <c r="N5" s="14" t="s">
        <v>1</v>
      </c>
      <c r="O5" s="14" t="s">
        <v>6</v>
      </c>
      <c r="P5" s="14" t="s">
        <v>12</v>
      </c>
      <c r="Q5" s="10"/>
      <c r="R5" s="10"/>
      <c r="S5" s="10"/>
      <c r="T5" s="10"/>
      <c r="U5" s="10"/>
    </row>
    <row r="6" spans="2:21" x14ac:dyDescent="0.25">
      <c r="B6" s="12"/>
      <c r="C6" s="12" t="s">
        <v>4</v>
      </c>
      <c r="D6" s="10"/>
      <c r="E6" s="10"/>
      <c r="F6" s="10"/>
      <c r="G6" s="10">
        <v>180372.51</v>
      </c>
      <c r="H6" s="10"/>
      <c r="I6" s="10"/>
      <c r="J6" s="10"/>
      <c r="K6" s="10"/>
      <c r="L6" s="10"/>
      <c r="M6" s="10">
        <v>50000</v>
      </c>
      <c r="N6" s="10"/>
      <c r="O6" s="10"/>
      <c r="P6" s="10"/>
      <c r="Q6" s="10"/>
      <c r="R6" s="10"/>
      <c r="S6" s="10"/>
      <c r="T6" s="10"/>
      <c r="U6" s="10"/>
    </row>
    <row r="7" spans="2:21" x14ac:dyDescent="0.25">
      <c r="B7" s="12"/>
      <c r="C7" s="12"/>
      <c r="D7" s="10"/>
      <c r="E7" s="10"/>
      <c r="F7" s="10"/>
      <c r="G7" s="10">
        <v>11333.2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x14ac:dyDescent="0.25">
      <c r="B8" s="12"/>
      <c r="C8" s="12"/>
      <c r="D8" s="10"/>
      <c r="E8" s="10"/>
      <c r="F8" s="10"/>
      <c r="G8" s="10">
        <v>50000</v>
      </c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x14ac:dyDescent="0.25">
      <c r="B9" s="12"/>
      <c r="C9" s="12"/>
      <c r="D9" s="10"/>
      <c r="E9" s="10"/>
      <c r="F9" s="10"/>
      <c r="G9" s="10">
        <v>37702.019999999997</v>
      </c>
      <c r="H9" s="10">
        <f>SUM(G6:G9)</f>
        <v>279407.73000000004</v>
      </c>
      <c r="I9" s="10">
        <f>+H9/(N9+H9)*100</f>
        <v>84.821242658756063</v>
      </c>
      <c r="J9" s="10"/>
      <c r="K9" s="10"/>
      <c r="L9" s="10"/>
      <c r="M9" s="10"/>
      <c r="N9" s="10">
        <f>+M6</f>
        <v>50000</v>
      </c>
      <c r="O9" s="10">
        <f>+N9/(H9+N9)*100</f>
        <v>15.178757341243934</v>
      </c>
      <c r="P9" s="10"/>
      <c r="Q9" s="10"/>
      <c r="R9" s="10"/>
      <c r="S9" s="10"/>
      <c r="T9" s="10">
        <f>+N9+H9</f>
        <v>329407.73000000004</v>
      </c>
      <c r="U9" s="10"/>
    </row>
    <row r="10" spans="2:21" x14ac:dyDescent="0.25">
      <c r="B10" s="12"/>
      <c r="C10" s="12"/>
      <c r="D10" s="10"/>
      <c r="E10" s="10"/>
      <c r="F10" s="10" t="s">
        <v>10</v>
      </c>
      <c r="G10" s="10"/>
      <c r="H10" s="10"/>
      <c r="I10" s="15">
        <v>0.85</v>
      </c>
      <c r="J10" s="10"/>
      <c r="K10" s="10"/>
      <c r="L10" s="10"/>
      <c r="M10" s="10"/>
      <c r="N10" s="10"/>
      <c r="O10" s="15">
        <v>0.15</v>
      </c>
      <c r="P10" s="10"/>
      <c r="Q10" s="10"/>
      <c r="R10" s="10"/>
      <c r="S10" s="10"/>
      <c r="T10" s="10"/>
      <c r="U10" s="10"/>
    </row>
    <row r="11" spans="2:21" x14ac:dyDescent="0.25">
      <c r="B11" s="12"/>
      <c r="C11" s="12" t="s">
        <v>7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 x14ac:dyDescent="0.25">
      <c r="B12" s="12"/>
      <c r="C12" s="12" t="s">
        <v>8</v>
      </c>
      <c r="D12" s="10"/>
      <c r="E12" s="10"/>
      <c r="F12" s="10">
        <f>+S4/50000</f>
        <v>53.5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x14ac:dyDescent="0.25">
      <c r="B13" s="12"/>
      <c r="C13" s="12" t="s">
        <v>9</v>
      </c>
      <c r="D13" s="10"/>
      <c r="E13" s="10"/>
      <c r="F13" s="10">
        <f>+F12*6000</f>
        <v>321000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>
        <f>+F13</f>
        <v>321000</v>
      </c>
      <c r="U13" s="10"/>
    </row>
    <row r="14" spans="2:21" x14ac:dyDescent="0.25">
      <c r="B14" s="12"/>
      <c r="C14" s="12" t="s">
        <v>11</v>
      </c>
      <c r="D14" s="10"/>
      <c r="E14" s="10"/>
      <c r="F14" s="14">
        <f>321000/53.5</f>
        <v>6000</v>
      </c>
      <c r="G14" s="10"/>
      <c r="H14" s="10"/>
      <c r="I14" s="10"/>
      <c r="J14" s="14">
        <f>+F14*I10</f>
        <v>5100</v>
      </c>
      <c r="K14" s="10"/>
      <c r="L14" s="10"/>
      <c r="M14" s="10"/>
      <c r="N14" s="10"/>
      <c r="O14" s="10"/>
      <c r="P14" s="14">
        <f>+F14*O10</f>
        <v>900</v>
      </c>
      <c r="Q14" s="10"/>
      <c r="R14" s="10"/>
      <c r="S14" s="10"/>
      <c r="T14" s="10">
        <f>+P14+J14</f>
        <v>6000</v>
      </c>
      <c r="U14" s="10"/>
    </row>
    <row r="15" spans="2:21" x14ac:dyDescent="0.25">
      <c r="B15" s="12"/>
      <c r="C15" s="12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x14ac:dyDescent="0.25">
      <c r="B16" s="12"/>
      <c r="C16" s="12" t="s">
        <v>13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1:21" x14ac:dyDescent="0.25">
      <c r="B17" s="16">
        <v>37971</v>
      </c>
      <c r="C17" s="17">
        <v>1</v>
      </c>
      <c r="D17" s="10">
        <v>16800</v>
      </c>
      <c r="E17" s="10">
        <v>2.8</v>
      </c>
      <c r="F17" s="10"/>
      <c r="G17" s="10"/>
      <c r="H17" s="10">
        <f>+J14*E17</f>
        <v>14280</v>
      </c>
      <c r="I17" s="10"/>
      <c r="J17" s="10"/>
      <c r="K17" s="10"/>
      <c r="L17" s="10"/>
      <c r="M17" s="10"/>
      <c r="N17" s="10">
        <f>+P14*E17</f>
        <v>2520</v>
      </c>
      <c r="O17" s="10"/>
      <c r="P17" s="10"/>
      <c r="Q17" s="10"/>
      <c r="R17" s="10"/>
      <c r="S17" s="10"/>
      <c r="T17" s="10">
        <f>+N17+H17</f>
        <v>16800</v>
      </c>
      <c r="U17" s="10"/>
    </row>
    <row r="18" spans="1:21" x14ac:dyDescent="0.25">
      <c r="B18" s="16">
        <v>38340</v>
      </c>
      <c r="C18" s="17">
        <v>2</v>
      </c>
      <c r="D18" s="10">
        <v>18420</v>
      </c>
      <c r="E18" s="10">
        <v>3.07</v>
      </c>
      <c r="F18" s="10"/>
      <c r="G18" s="10"/>
      <c r="H18" s="10">
        <f t="shared" ref="H18:H25" si="0">+$J$14*E18</f>
        <v>15657</v>
      </c>
      <c r="I18" s="10"/>
      <c r="J18" s="10"/>
      <c r="K18" s="10"/>
      <c r="L18" s="10"/>
      <c r="M18" s="10"/>
      <c r="N18" s="10">
        <f>+$P$14*E18</f>
        <v>2763</v>
      </c>
      <c r="O18" s="10"/>
      <c r="P18" s="10"/>
      <c r="Q18" s="10"/>
      <c r="R18" s="10"/>
      <c r="S18" s="10"/>
      <c r="T18" s="10">
        <f>+N18+H18</f>
        <v>18420</v>
      </c>
      <c r="U18" s="10"/>
    </row>
    <row r="19" spans="1:21" x14ac:dyDescent="0.25">
      <c r="B19" s="16">
        <v>42125</v>
      </c>
      <c r="C19" s="17">
        <v>3</v>
      </c>
      <c r="D19" s="10">
        <v>18000</v>
      </c>
      <c r="E19" s="10">
        <v>3</v>
      </c>
      <c r="F19" s="10"/>
      <c r="G19" s="10"/>
      <c r="H19" s="10">
        <f t="shared" si="0"/>
        <v>15300</v>
      </c>
      <c r="I19" s="10"/>
      <c r="J19" s="10"/>
      <c r="K19" s="10"/>
      <c r="L19" s="10"/>
      <c r="M19" s="10"/>
      <c r="N19" s="10">
        <f t="shared" ref="N19:N25" si="1">+$P$14*E19</f>
        <v>2700</v>
      </c>
      <c r="O19" s="10"/>
      <c r="P19" s="10"/>
      <c r="Q19" s="10"/>
      <c r="R19" s="10"/>
      <c r="S19" s="10"/>
      <c r="T19" s="10">
        <f t="shared" ref="T19:T29" si="2">+N19+H19</f>
        <v>18000</v>
      </c>
      <c r="U19" s="10"/>
    </row>
    <row r="20" spans="1:21" x14ac:dyDescent="0.25">
      <c r="B20" s="16">
        <v>42460</v>
      </c>
      <c r="C20" s="17">
        <v>5</v>
      </c>
      <c r="D20" s="10">
        <v>14460</v>
      </c>
      <c r="E20" s="10">
        <v>2.41</v>
      </c>
      <c r="F20" s="10"/>
      <c r="G20" s="10"/>
      <c r="H20" s="10">
        <f t="shared" si="0"/>
        <v>12291</v>
      </c>
      <c r="I20" s="10"/>
      <c r="J20" s="10"/>
      <c r="K20" s="10"/>
      <c r="L20" s="10"/>
      <c r="M20" s="10"/>
      <c r="N20" s="10">
        <f t="shared" si="1"/>
        <v>2169</v>
      </c>
      <c r="O20" s="10"/>
      <c r="P20" s="10"/>
      <c r="Q20" s="10"/>
      <c r="R20" s="10"/>
      <c r="S20" s="10"/>
      <c r="T20" s="10">
        <f t="shared" si="2"/>
        <v>14460</v>
      </c>
      <c r="U20" s="10"/>
    </row>
    <row r="21" spans="1:21" x14ac:dyDescent="0.25">
      <c r="B21" s="16">
        <v>42491</v>
      </c>
      <c r="C21" s="17">
        <v>5</v>
      </c>
      <c r="D21" s="10">
        <v>13620</v>
      </c>
      <c r="E21" s="10">
        <v>2.27</v>
      </c>
      <c r="F21" s="10"/>
      <c r="G21" s="10"/>
      <c r="H21" s="10">
        <f t="shared" si="0"/>
        <v>11577</v>
      </c>
      <c r="I21" s="10"/>
      <c r="J21" s="10"/>
      <c r="K21" s="10"/>
      <c r="L21" s="10"/>
      <c r="M21" s="10"/>
      <c r="N21" s="10">
        <f t="shared" si="1"/>
        <v>2043</v>
      </c>
      <c r="O21" s="10"/>
      <c r="P21" s="10"/>
      <c r="Q21" s="10"/>
      <c r="R21" s="10"/>
      <c r="S21" s="10"/>
      <c r="T21" s="10">
        <f t="shared" si="2"/>
        <v>13620</v>
      </c>
      <c r="U21" s="10"/>
    </row>
    <row r="22" spans="1:21" x14ac:dyDescent="0.25">
      <c r="B22" s="16">
        <v>42467</v>
      </c>
      <c r="C22" s="17">
        <v>4</v>
      </c>
      <c r="D22" s="10">
        <v>21600</v>
      </c>
      <c r="E22" s="10">
        <v>3.6</v>
      </c>
      <c r="F22" s="10"/>
      <c r="G22" s="10"/>
      <c r="H22" s="10">
        <f t="shared" si="0"/>
        <v>18360</v>
      </c>
      <c r="I22" s="10"/>
      <c r="J22" s="10"/>
      <c r="K22" s="10"/>
      <c r="L22" s="10"/>
      <c r="M22" s="10"/>
      <c r="N22" s="10">
        <f t="shared" si="1"/>
        <v>3240</v>
      </c>
      <c r="O22" s="10"/>
      <c r="P22" s="10"/>
      <c r="Q22" s="10"/>
      <c r="R22" s="10"/>
      <c r="S22" s="10"/>
      <c r="T22" s="10">
        <f t="shared" si="2"/>
        <v>21600</v>
      </c>
      <c r="U22" s="10"/>
    </row>
    <row r="23" spans="1:21" x14ac:dyDescent="0.25">
      <c r="B23" s="16">
        <v>42831</v>
      </c>
      <c r="C23" s="17">
        <v>6</v>
      </c>
      <c r="D23" s="10">
        <v>20460</v>
      </c>
      <c r="E23" s="10">
        <v>3.41</v>
      </c>
      <c r="F23" s="10"/>
      <c r="G23" s="10"/>
      <c r="H23" s="10">
        <f t="shared" si="0"/>
        <v>17391</v>
      </c>
      <c r="I23" s="10"/>
      <c r="J23" s="10"/>
      <c r="K23" s="10"/>
      <c r="L23" s="10"/>
      <c r="M23" s="10"/>
      <c r="N23" s="10">
        <f t="shared" si="1"/>
        <v>3069</v>
      </c>
      <c r="O23" s="10"/>
      <c r="P23" s="10"/>
      <c r="Q23" s="10"/>
      <c r="R23" s="10"/>
      <c r="S23" s="10"/>
      <c r="T23" s="10">
        <f t="shared" si="2"/>
        <v>20460</v>
      </c>
      <c r="U23" s="10"/>
    </row>
    <row r="24" spans="1:21" x14ac:dyDescent="0.25">
      <c r="B24" s="16">
        <v>43251</v>
      </c>
      <c r="C24" s="17">
        <v>7</v>
      </c>
      <c r="D24" s="10">
        <v>10920</v>
      </c>
      <c r="E24" s="10">
        <v>1.82</v>
      </c>
      <c r="F24" s="10"/>
      <c r="G24" s="10"/>
      <c r="H24" s="10">
        <f t="shared" si="0"/>
        <v>9282</v>
      </c>
      <c r="I24" s="10"/>
      <c r="J24" s="10"/>
      <c r="K24" s="10"/>
      <c r="L24" s="10"/>
      <c r="M24" s="10"/>
      <c r="N24" s="10">
        <f t="shared" si="1"/>
        <v>1638</v>
      </c>
      <c r="O24" s="10"/>
      <c r="P24" s="10"/>
      <c r="Q24" s="10"/>
      <c r="R24" s="10"/>
      <c r="S24" s="10"/>
      <c r="T24" s="10"/>
      <c r="U24" s="10"/>
    </row>
    <row r="25" spans="1:21" x14ac:dyDescent="0.25">
      <c r="B25" s="16">
        <v>43313</v>
      </c>
      <c r="C25" s="17">
        <v>8</v>
      </c>
      <c r="D25" s="10">
        <v>600</v>
      </c>
      <c r="E25" s="10">
        <v>0.1</v>
      </c>
      <c r="F25" s="10"/>
      <c r="G25" s="10"/>
      <c r="H25" s="10">
        <f t="shared" si="0"/>
        <v>510</v>
      </c>
      <c r="I25" s="10"/>
      <c r="J25" s="10"/>
      <c r="K25" s="10"/>
      <c r="L25" s="10"/>
      <c r="M25" s="10"/>
      <c r="N25" s="10">
        <f t="shared" si="1"/>
        <v>90</v>
      </c>
      <c r="O25" s="10"/>
      <c r="P25" s="10"/>
      <c r="Q25" s="10"/>
      <c r="R25" s="10"/>
      <c r="S25" s="10"/>
      <c r="T25" s="10"/>
      <c r="U25" s="10"/>
    </row>
    <row r="26" spans="1:21" x14ac:dyDescent="0.25">
      <c r="B26" s="16"/>
      <c r="C26" s="12"/>
      <c r="D26" s="14">
        <f>SUM(D17:D25)</f>
        <v>134880</v>
      </c>
      <c r="E26" s="10"/>
      <c r="F26" s="10"/>
      <c r="G26" s="10"/>
      <c r="H26" s="14">
        <f>SUM(H17:H25)</f>
        <v>114648</v>
      </c>
      <c r="I26" s="10">
        <f>+H26/(N26+H26)*100</f>
        <v>85</v>
      </c>
      <c r="J26" s="10"/>
      <c r="K26" s="10"/>
      <c r="L26" s="10"/>
      <c r="M26" s="10"/>
      <c r="N26" s="14">
        <f>SUM(N17:N25)</f>
        <v>20232</v>
      </c>
      <c r="O26" s="10">
        <f>+N26/(H26+N26)*100</f>
        <v>15</v>
      </c>
      <c r="P26" s="10"/>
      <c r="Q26" s="10"/>
      <c r="R26" s="10"/>
      <c r="S26" s="10"/>
      <c r="T26" s="10">
        <f>SUM(T17:T24)</f>
        <v>123360</v>
      </c>
      <c r="U26" s="10">
        <f>+H26+N26</f>
        <v>134880</v>
      </c>
    </row>
    <row r="27" spans="1:21" x14ac:dyDescent="0.25">
      <c r="B27" s="12"/>
      <c r="C27" s="12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>
        <f t="shared" si="2"/>
        <v>0</v>
      </c>
      <c r="U27" s="10"/>
    </row>
    <row r="28" spans="1:21" x14ac:dyDescent="0.25">
      <c r="A28" s="3"/>
      <c r="B28" s="13" t="s">
        <v>15</v>
      </c>
      <c r="C28" s="13"/>
      <c r="D28" s="14"/>
      <c r="E28" s="14"/>
      <c r="F28" s="14"/>
      <c r="G28" s="14"/>
      <c r="H28" s="14">
        <f>+H26+H9</f>
        <v>394055.73000000004</v>
      </c>
      <c r="I28" s="18">
        <f>+H28/(H28+N28)</f>
        <v>0.84873173366007326</v>
      </c>
      <c r="J28" s="14"/>
      <c r="K28" s="14"/>
      <c r="L28" s="14"/>
      <c r="M28" s="14"/>
      <c r="N28" s="14">
        <f>+N26+N9</f>
        <v>70232</v>
      </c>
      <c r="O28" s="18">
        <f>+N28/(H28+N28)</f>
        <v>0.15126826633992674</v>
      </c>
      <c r="P28" s="14"/>
      <c r="Q28" s="14"/>
      <c r="R28" s="14"/>
      <c r="S28" s="14"/>
      <c r="T28" s="14">
        <f t="shared" si="2"/>
        <v>464287.73000000004</v>
      </c>
      <c r="U28" s="14">
        <f>+T9+T26</f>
        <v>452767.73000000004</v>
      </c>
    </row>
    <row r="29" spans="1:21" x14ac:dyDescent="0.25">
      <c r="B29" s="12"/>
      <c r="C29" s="12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>
        <f t="shared" si="2"/>
        <v>0</v>
      </c>
      <c r="U29" s="10"/>
    </row>
    <row r="30" spans="1:21" x14ac:dyDescent="0.25">
      <c r="B30" s="12"/>
      <c r="C30" s="12" t="s">
        <v>14</v>
      </c>
      <c r="D30" s="10"/>
      <c r="E30" s="10">
        <v>200000</v>
      </c>
      <c r="F30" s="10"/>
      <c r="G30" s="10"/>
      <c r="H30" s="10">
        <v>100000</v>
      </c>
      <c r="I30" s="15">
        <v>0.5</v>
      </c>
      <c r="J30" s="10"/>
      <c r="K30" s="10"/>
      <c r="L30" s="10"/>
      <c r="M30" s="10"/>
      <c r="N30" s="10">
        <v>100000</v>
      </c>
      <c r="O30" s="15">
        <v>0.5</v>
      </c>
      <c r="P30" s="10"/>
      <c r="Q30" s="10"/>
      <c r="R30" s="10"/>
      <c r="S30" s="10"/>
      <c r="T30" s="10">
        <f>+N30+H30</f>
        <v>200000</v>
      </c>
      <c r="U30" s="10"/>
    </row>
    <row r="31" spans="1:21" x14ac:dyDescent="0.25">
      <c r="B31" s="12"/>
      <c r="C31" s="12" t="s">
        <v>13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</row>
    <row r="32" spans="1:21" x14ac:dyDescent="0.25">
      <c r="B32" s="16">
        <v>42766</v>
      </c>
      <c r="C32" s="12">
        <v>1</v>
      </c>
      <c r="D32" s="10"/>
      <c r="E32" s="10">
        <v>24000</v>
      </c>
      <c r="F32" s="10"/>
      <c r="G32" s="10"/>
      <c r="H32" s="10">
        <v>12000</v>
      </c>
      <c r="I32" s="15">
        <v>0.5</v>
      </c>
      <c r="J32" s="10"/>
      <c r="K32" s="10"/>
      <c r="L32" s="10"/>
      <c r="M32" s="10"/>
      <c r="N32" s="10">
        <v>12000</v>
      </c>
      <c r="O32" s="15">
        <v>0.5</v>
      </c>
      <c r="P32" s="10"/>
      <c r="Q32" s="10"/>
      <c r="R32" s="10"/>
      <c r="S32" s="10"/>
      <c r="T32" s="10">
        <f>+N32+H32</f>
        <v>24000</v>
      </c>
      <c r="U32" s="10"/>
    </row>
    <row r="33" spans="1:21" x14ac:dyDescent="0.25">
      <c r="B33" s="16">
        <v>43252</v>
      </c>
      <c r="C33" s="12" t="s">
        <v>24</v>
      </c>
      <c r="D33" s="10"/>
      <c r="E33" s="10"/>
      <c r="F33" s="19">
        <v>12000</v>
      </c>
      <c r="G33" s="10"/>
      <c r="H33" s="19">
        <v>6000</v>
      </c>
      <c r="I33" s="15">
        <v>0.5</v>
      </c>
      <c r="J33" s="10"/>
      <c r="K33" s="10"/>
      <c r="L33" s="10"/>
      <c r="M33" s="10"/>
      <c r="N33" s="19">
        <v>6000</v>
      </c>
      <c r="O33" s="15">
        <v>0.5</v>
      </c>
      <c r="P33" s="10"/>
      <c r="Q33" s="10"/>
      <c r="R33" s="10"/>
      <c r="S33" s="10"/>
      <c r="T33" s="10"/>
      <c r="U33" s="10"/>
    </row>
    <row r="34" spans="1:21" x14ac:dyDescent="0.25">
      <c r="B34" s="12"/>
      <c r="C34" s="12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</row>
    <row r="35" spans="1:21" x14ac:dyDescent="0.25">
      <c r="A35" s="3"/>
      <c r="B35" s="13" t="s">
        <v>16</v>
      </c>
      <c r="C35" s="13"/>
      <c r="D35" s="14"/>
      <c r="E35" s="14"/>
      <c r="F35" s="14"/>
      <c r="G35" s="14"/>
      <c r="H35" s="14">
        <f>+H32+H30+H26+H33</f>
        <v>232648</v>
      </c>
      <c r="I35" s="14"/>
      <c r="J35" s="14"/>
      <c r="K35" s="14"/>
      <c r="L35" s="14"/>
      <c r="M35" s="14"/>
      <c r="N35" s="14">
        <f>+N32+N30+N26+N33</f>
        <v>138232</v>
      </c>
      <c r="O35" s="14"/>
      <c r="P35" s="14"/>
      <c r="Q35" s="14"/>
      <c r="R35" s="14"/>
      <c r="S35" s="14"/>
      <c r="T35" s="14">
        <f>+N35+H35</f>
        <v>370880</v>
      </c>
      <c r="U35" s="14"/>
    </row>
    <row r="36" spans="1:21" x14ac:dyDescent="0.25">
      <c r="B36" s="12"/>
      <c r="C36" s="12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</row>
    <row r="37" spans="1:21" x14ac:dyDescent="0.25">
      <c r="B37" s="12"/>
      <c r="C37" s="12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</row>
    <row r="38" spans="1:21" x14ac:dyDescent="0.25">
      <c r="B38" s="12"/>
      <c r="C38" s="12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</row>
    <row r="39" spans="1:21" x14ac:dyDescent="0.25">
      <c r="B39" s="12" t="s">
        <v>18</v>
      </c>
      <c r="C39" s="12"/>
      <c r="D39" s="10"/>
      <c r="E39" s="10"/>
      <c r="F39" s="10"/>
      <c r="G39" s="10"/>
      <c r="H39" s="10">
        <f>+H35+H9</f>
        <v>512055.73000000004</v>
      </c>
      <c r="I39" s="10"/>
      <c r="J39" s="10"/>
      <c r="K39" s="10"/>
      <c r="L39" s="10"/>
      <c r="M39" s="10"/>
      <c r="N39" s="10">
        <f>+N35+N9</f>
        <v>188232</v>
      </c>
      <c r="O39" s="10"/>
      <c r="P39" s="10"/>
      <c r="Q39" s="10"/>
      <c r="R39" s="10"/>
      <c r="S39" s="10">
        <f>+N39+H39</f>
        <v>700287.73</v>
      </c>
      <c r="T39" s="10">
        <f>+T35+T9</f>
        <v>700287.73</v>
      </c>
      <c r="U39" s="10">
        <f>+N39+H39</f>
        <v>700287.73</v>
      </c>
    </row>
    <row r="40" spans="1:21" x14ac:dyDescent="0.25">
      <c r="B40" s="12"/>
      <c r="C40" s="12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</row>
    <row r="41" spans="1:21" x14ac:dyDescent="0.25">
      <c r="B41" s="12"/>
      <c r="C41" s="12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</row>
    <row r="42" spans="1:21" x14ac:dyDescent="0.25">
      <c r="B42" s="12"/>
      <c r="C42" s="12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</row>
    <row r="43" spans="1:21" x14ac:dyDescent="0.25">
      <c r="B43" s="12"/>
      <c r="C43" s="12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</row>
    <row r="44" spans="1:21" x14ac:dyDescent="0.25">
      <c r="B44" s="12"/>
      <c r="C44" s="12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1" x14ac:dyDescent="0.25"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</row>
    <row r="46" spans="1:21" x14ac:dyDescent="0.25"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</row>
    <row r="47" spans="1:21" x14ac:dyDescent="0.25">
      <c r="B47" t="s">
        <v>17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</row>
    <row r="48" spans="1:21" x14ac:dyDescent="0.25">
      <c r="B48" t="s">
        <v>19</v>
      </c>
      <c r="D48" s="2"/>
      <c r="E48" s="2" t="s">
        <v>23</v>
      </c>
      <c r="F48" s="2"/>
      <c r="G48" s="2"/>
      <c r="H48" s="2">
        <f>+H26</f>
        <v>114648</v>
      </c>
      <c r="I48" s="1">
        <f>+H48/T48</f>
        <v>0.85</v>
      </c>
      <c r="J48" s="2"/>
      <c r="K48" s="2"/>
      <c r="L48" s="2"/>
      <c r="M48" s="2"/>
      <c r="N48" s="2">
        <f>+N26</f>
        <v>20232</v>
      </c>
      <c r="O48" s="1">
        <f>+N48/T48</f>
        <v>0.15</v>
      </c>
      <c r="P48" s="2"/>
      <c r="Q48" s="2"/>
      <c r="R48" s="2"/>
      <c r="S48" s="2"/>
      <c r="T48" s="2">
        <f>+N48+H48</f>
        <v>134880</v>
      </c>
      <c r="U48" s="2"/>
    </row>
    <row r="49" spans="1:21" x14ac:dyDescent="0.25">
      <c r="B49" t="s">
        <v>20</v>
      </c>
      <c r="D49" s="2"/>
      <c r="E49" s="2">
        <v>6000</v>
      </c>
      <c r="F49" s="2">
        <v>104.34</v>
      </c>
      <c r="G49" s="2"/>
      <c r="H49" s="2">
        <f>+E49*F49*0.85</f>
        <v>532134</v>
      </c>
      <c r="I49" s="1">
        <f>+H49/T49</f>
        <v>0.85</v>
      </c>
      <c r="J49" s="2"/>
      <c r="K49" s="2"/>
      <c r="L49" s="2"/>
      <c r="M49" s="2"/>
      <c r="N49" s="2">
        <f>+E49*F49*0.15</f>
        <v>93906</v>
      </c>
      <c r="O49" s="1">
        <f>+N49/T49</f>
        <v>0.15</v>
      </c>
      <c r="P49" s="2"/>
      <c r="Q49" s="2"/>
      <c r="R49" s="2"/>
      <c r="S49" s="2"/>
      <c r="T49" s="2">
        <f>+N49+H49</f>
        <v>626040</v>
      </c>
      <c r="U49" s="2"/>
    </row>
    <row r="50" spans="1:21" x14ac:dyDescent="0.25">
      <c r="D50" s="2"/>
      <c r="E50" s="2"/>
      <c r="F50" s="2"/>
      <c r="G50" s="2"/>
      <c r="H50" s="2">
        <f>SUM(H48:H49)</f>
        <v>646782</v>
      </c>
      <c r="I50" s="1">
        <f>+H50/T50</f>
        <v>0.85</v>
      </c>
      <c r="J50" s="2"/>
      <c r="K50" s="2"/>
      <c r="L50" s="2"/>
      <c r="M50" s="2"/>
      <c r="N50" s="2">
        <f>+N48+N49</f>
        <v>114138</v>
      </c>
      <c r="O50" s="1">
        <f>+N50/T50</f>
        <v>0.15</v>
      </c>
      <c r="P50" s="2"/>
      <c r="Q50" s="2"/>
      <c r="R50" s="2"/>
      <c r="S50" s="2"/>
      <c r="T50" s="2">
        <f>+T48+T49</f>
        <v>760920</v>
      </c>
      <c r="U50" s="2">
        <f>+N50+H50</f>
        <v>760920</v>
      </c>
    </row>
    <row r="51" spans="1:21" x14ac:dyDescent="0.25">
      <c r="B51" t="s">
        <v>14</v>
      </c>
      <c r="D51" s="2"/>
      <c r="E51" s="2"/>
      <c r="F51" s="2"/>
      <c r="G51" s="2"/>
      <c r="H51" s="2">
        <v>100000</v>
      </c>
      <c r="I51" s="1">
        <f>+H51/T51</f>
        <v>0.5</v>
      </c>
      <c r="J51" s="2"/>
      <c r="K51" s="2"/>
      <c r="L51" s="2"/>
      <c r="M51" s="2"/>
      <c r="N51" s="2">
        <v>100000</v>
      </c>
      <c r="O51" s="1">
        <f>+N51/T51</f>
        <v>0.5</v>
      </c>
      <c r="P51" s="2"/>
      <c r="Q51" s="2"/>
      <c r="R51" s="2"/>
      <c r="S51" s="2"/>
      <c r="T51" s="2">
        <f>+N51+H51</f>
        <v>200000</v>
      </c>
      <c r="U51" s="2"/>
    </row>
    <row r="52" spans="1:21" x14ac:dyDescent="0.25">
      <c r="B52" t="s">
        <v>21</v>
      </c>
      <c r="D52" s="2"/>
      <c r="E52" s="2"/>
      <c r="F52" s="2"/>
      <c r="G52" s="2"/>
      <c r="H52" s="2">
        <f>+H32+H33</f>
        <v>18000</v>
      </c>
      <c r="I52" s="1">
        <f t="shared" ref="I52" si="3">+H52/N52</f>
        <v>1</v>
      </c>
      <c r="J52" s="2"/>
      <c r="K52" s="2"/>
      <c r="L52" s="2"/>
      <c r="M52" s="2"/>
      <c r="N52" s="2">
        <f>+N32+N33</f>
        <v>18000</v>
      </c>
      <c r="O52" s="1">
        <f>+N52/T52</f>
        <v>0.5</v>
      </c>
      <c r="P52" s="2"/>
      <c r="Q52" s="2"/>
      <c r="R52" s="2"/>
      <c r="S52" s="2"/>
      <c r="T52" s="2">
        <f>+N52+H52</f>
        <v>36000</v>
      </c>
      <c r="U52" s="2"/>
    </row>
    <row r="53" spans="1:21" x14ac:dyDescent="0.25">
      <c r="B53" s="1"/>
      <c r="D53" s="2"/>
      <c r="E53" s="2"/>
      <c r="F53" s="2"/>
      <c r="G53" s="2"/>
      <c r="H53" s="2"/>
      <c r="I53" s="1"/>
      <c r="J53" s="2"/>
      <c r="K53" s="2"/>
      <c r="L53" s="2"/>
      <c r="M53" s="2"/>
      <c r="N53" s="2"/>
      <c r="O53" s="1"/>
      <c r="P53" s="2"/>
      <c r="Q53" s="2"/>
      <c r="R53" s="2"/>
      <c r="S53" s="2"/>
      <c r="T53" s="2"/>
      <c r="U53" s="2"/>
    </row>
    <row r="54" spans="1:21" x14ac:dyDescent="0.25">
      <c r="D54" s="2"/>
      <c r="E54" s="2"/>
      <c r="F54" s="2"/>
      <c r="G54" s="2"/>
      <c r="H54" s="2">
        <f>SUM(H50:H53)</f>
        <v>764782</v>
      </c>
      <c r="I54" s="1">
        <v>0.77</v>
      </c>
      <c r="J54" s="9"/>
      <c r="K54" s="2"/>
      <c r="L54" s="2"/>
      <c r="M54" s="2"/>
      <c r="N54" s="11">
        <f>SUM(N50:N53)</f>
        <v>232138</v>
      </c>
      <c r="O54" s="1">
        <f>+N54/T54</f>
        <v>0.23285519399751234</v>
      </c>
      <c r="P54" s="2"/>
      <c r="Q54" s="2"/>
      <c r="R54" s="2"/>
      <c r="S54" s="2"/>
      <c r="T54" s="2">
        <f>SUM(T50:T53)</f>
        <v>996920</v>
      </c>
      <c r="U54" s="2">
        <f>+H54+N54</f>
        <v>996920</v>
      </c>
    </row>
    <row r="55" spans="1:21" ht="18.75" x14ac:dyDescent="0.3">
      <c r="A55" s="6"/>
      <c r="B55" s="6" t="s">
        <v>22</v>
      </c>
      <c r="C55" s="6"/>
      <c r="D55" s="7"/>
      <c r="E55" s="7"/>
      <c r="F55" s="7"/>
      <c r="G55" s="7"/>
      <c r="H55" s="8">
        <f>+H54/4</f>
        <v>191195.5</v>
      </c>
      <c r="I55" s="5">
        <f>+H55/H54*100</f>
        <v>25</v>
      </c>
      <c r="J55" s="8"/>
      <c r="K55" s="8"/>
      <c r="L55" s="8"/>
      <c r="M55" s="8"/>
      <c r="N55" s="8">
        <f>+N54/4</f>
        <v>58034.5</v>
      </c>
      <c r="O55" s="8">
        <f>+N55/N54*100</f>
        <v>25</v>
      </c>
      <c r="P55" s="8"/>
      <c r="Q55" s="8"/>
      <c r="R55" s="8"/>
      <c r="S55" s="8">
        <f>+H55+N55</f>
        <v>249230</v>
      </c>
      <c r="T55" s="8">
        <f>+T54/4</f>
        <v>249230</v>
      </c>
      <c r="U55" s="8">
        <f>+N55+H55</f>
        <v>249230</v>
      </c>
    </row>
    <row r="56" spans="1:21" x14ac:dyDescent="0.25">
      <c r="D56" s="2"/>
      <c r="E56" s="2"/>
      <c r="F56" s="2"/>
      <c r="G56" s="2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x14ac:dyDescent="0.25"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</row>
    <row r="58" spans="1:21" x14ac:dyDescent="0.25"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</row>
    <row r="59" spans="1:21" x14ac:dyDescent="0.25">
      <c r="D59" s="2"/>
      <c r="E59" s="2"/>
      <c r="F59" s="2"/>
      <c r="G59" s="2"/>
      <c r="H59" s="2"/>
      <c r="I59" s="2">
        <f>+H54/T54*100</f>
        <v>76.714480600248763</v>
      </c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</row>
    <row r="60" spans="1:21" x14ac:dyDescent="0.25">
      <c r="D60" s="2"/>
      <c r="E60" s="2"/>
      <c r="F60" s="2"/>
      <c r="G60" s="2"/>
      <c r="H60" s="2"/>
      <c r="I60" s="2">
        <f>+H54*0.25</f>
        <v>191195.5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</row>
    <row r="61" spans="1:21" x14ac:dyDescent="0.25"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25% withdrawal from pension sch</vt:lpstr>
      <vt:lpstr>Pension withdrawel Sheralee</vt:lpstr>
      <vt:lpstr>Sheet3</vt:lpstr>
      <vt:lpstr>'25% withdrawal from pension sch'!Print_Area</vt:lpstr>
      <vt:lpstr>'Pension withdrawel Sheralee'!Print_Area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Smithurst</dc:creator>
  <cp:lastModifiedBy>Gina Laptop</cp:lastModifiedBy>
  <cp:lastPrinted>2020-02-17T12:34:05Z</cp:lastPrinted>
  <dcterms:created xsi:type="dcterms:W3CDTF">2018-07-19T10:43:53Z</dcterms:created>
  <dcterms:modified xsi:type="dcterms:W3CDTF">2020-02-26T11:25:54Z</dcterms:modified>
</cp:coreProperties>
</file>